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5480" windowHeight="9600" activeTab="0"/>
  </bookViews>
  <sheets>
    <sheet name="Költségvetés" sheetId="1" r:id="rId1"/>
    <sheet name="Munka1" sheetId="2" r:id="rId2"/>
    <sheet name="Felhalmozási kiadások keop" sheetId="3" r:id="rId3"/>
    <sheet name="Személyi jellegű kiadások " sheetId="4" r:id="rId4"/>
    <sheet name="Dologi kiadás" sheetId="5" r:id="rId5"/>
  </sheets>
  <externalReferences>
    <externalReference r:id="rId8"/>
  </externalReferences>
  <definedNames>
    <definedName name="_ÁRFOLYAM">'Költségvetés'!#REF!</definedName>
    <definedName name="_kiadások_költségsora">'[1]Kiadások'!$C$5:$C$301</definedName>
    <definedName name="_kiadások_nettó">'[1]Kiadások'!$D$5:$D$301</definedName>
  </definedNames>
  <calcPr fullCalcOnLoad="1"/>
</workbook>
</file>

<file path=xl/comments4.xml><?xml version="1.0" encoding="utf-8"?>
<comments xmlns="http://schemas.openxmlformats.org/spreadsheetml/2006/main">
  <authors>
    <author>B?la</author>
  </authors>
  <commentList>
    <comment ref="R33" authorId="0">
      <text>
        <r>
          <rPr>
            <b/>
            <sz val="9"/>
            <rFont val="Tahoma"/>
            <family val="2"/>
          </rPr>
          <t>Béla:</t>
        </r>
        <r>
          <rPr>
            <sz val="9"/>
            <rFont val="Tahoma"/>
            <family val="2"/>
          </rPr>
          <t xml:space="preserve">
16600*12= 199200 max 200.000
</t>
        </r>
      </text>
    </comment>
  </commentList>
</comments>
</file>

<file path=xl/sharedStrings.xml><?xml version="1.0" encoding="utf-8"?>
<sst xmlns="http://schemas.openxmlformats.org/spreadsheetml/2006/main" count="282" uniqueCount="211">
  <si>
    <t>BEVÉTEL</t>
  </si>
  <si>
    <t>Felhalmozási bevételek:</t>
  </si>
  <si>
    <t>visszaigényelhető ÁFA</t>
  </si>
  <si>
    <t>EU</t>
  </si>
  <si>
    <t>Működési bevételek:</t>
  </si>
  <si>
    <t>nettó</t>
  </si>
  <si>
    <t>ÁFA</t>
  </si>
  <si>
    <t>bruttó</t>
  </si>
  <si>
    <t>KIADÁS</t>
  </si>
  <si>
    <t>Felhalmozási kiadások</t>
  </si>
  <si>
    <t>KA felhalmozási</t>
  </si>
  <si>
    <t>Kompenzációra átadott pénzeszköz</t>
  </si>
  <si>
    <t>Vilonya</t>
  </si>
  <si>
    <t>Működési kiadások</t>
  </si>
  <si>
    <t>Dologi és egyéb kiadás</t>
  </si>
  <si>
    <t>Összesen</t>
  </si>
  <si>
    <t>Észak-Balatoni Térség Regionális Települési Szilárdhulladék-kezelési Önkormányzati Társulás</t>
  </si>
  <si>
    <t>ebből Önkormányzatok befizetése</t>
  </si>
  <si>
    <t>szerződött</t>
  </si>
  <si>
    <t>2009. december 31-ig kifizetett</t>
  </si>
  <si>
    <t>Tervező</t>
  </si>
  <si>
    <t>2010-ben teljesítendő</t>
  </si>
  <si>
    <t>KEOP projekt, támogatott műszaki tartalom</t>
  </si>
  <si>
    <t>PIU szervezet külső tagjainak kiválasztása</t>
  </si>
  <si>
    <t>Jogi szakértő kiválasztása</t>
  </si>
  <si>
    <t>Közbeszerzési tanácsadó kiválasztása</t>
  </si>
  <si>
    <t>Kommunikációs tanácsadó kiválasztása</t>
  </si>
  <si>
    <t>Részletes Megvalósíthatósági Tanulmány</t>
  </si>
  <si>
    <t>Engedélyezés hatósági díj</t>
  </si>
  <si>
    <t>2011-ben teljesítendő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</si>
  <si>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</si>
  <si>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</si>
  <si>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</si>
  <si>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</si>
  <si>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</si>
  <si>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</si>
  <si>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</si>
  <si>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</si>
  <si>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</si>
  <si>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</si>
  <si>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</si>
  <si>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</si>
  <si>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BÉREK</t>
  </si>
  <si>
    <t>bruttó bér  KT</t>
  </si>
  <si>
    <t>alap</t>
  </si>
  <si>
    <t>munkáltatói döntésen alapuló illetmény</t>
  </si>
  <si>
    <t>Keresetkiegészítés</t>
  </si>
  <si>
    <t>nyelvpótlék</t>
  </si>
  <si>
    <t>vezetői illetménypótlék</t>
  </si>
  <si>
    <t>Mozgóbér</t>
  </si>
  <si>
    <t>JÁRULÉKOK</t>
  </si>
  <si>
    <t>mértéke</t>
  </si>
  <si>
    <t>Járulékalap (TBJ)</t>
  </si>
  <si>
    <t>Ft/hó/fő</t>
  </si>
  <si>
    <t>Költségtérítések</t>
  </si>
  <si>
    <t>Mindösszesen</t>
  </si>
  <si>
    <t>Könyvvizsgálat</t>
  </si>
  <si>
    <t>megtakarítás</t>
  </si>
  <si>
    <t>saját forrás</t>
  </si>
  <si>
    <t>KEOP</t>
  </si>
  <si>
    <t>további szakképesítés</t>
  </si>
  <si>
    <t>kerekítés</t>
  </si>
  <si>
    <t>Munkáltatót terhelő járulék</t>
  </si>
  <si>
    <t>összesen</t>
  </si>
  <si>
    <t>ebből mozgóbér</t>
  </si>
  <si>
    <t>Keresetkiegészítés Kjt. 77. § alapján</t>
  </si>
  <si>
    <t>ebből pénzmaradvány</t>
  </si>
  <si>
    <t>szerződött összesen:</t>
  </si>
  <si>
    <t>pályázat elfogadott költségvetése</t>
  </si>
  <si>
    <t>szerződéssel lekötött összeg</t>
  </si>
  <si>
    <t>költségek</t>
  </si>
  <si>
    <t>pályázat szintjén képződött saját forrás megtakarítás:</t>
  </si>
  <si>
    <t>összes megtakarítás (tartalék):</t>
  </si>
  <si>
    <t>befizetések ütemezése</t>
  </si>
  <si>
    <t>adott évi saját forrásigény</t>
  </si>
  <si>
    <t>tárgyévi befizetés</t>
  </si>
  <si>
    <t>felhalmozás</t>
  </si>
  <si>
    <t>működés</t>
  </si>
  <si>
    <t>teljes</t>
  </si>
  <si>
    <t>befizetés</t>
  </si>
  <si>
    <t>teljes saját forrás</t>
  </si>
  <si>
    <t>tartalék (pénzmaradvány)</t>
  </si>
  <si>
    <t>tényleges befizetés</t>
  </si>
  <si>
    <t>összes bevétel</t>
  </si>
  <si>
    <t>Egyéb juttatások</t>
  </si>
  <si>
    <t>ebből visszaigényelhető ÁFA-t tartalmazó</t>
  </si>
  <si>
    <t>ebből visszaigényelhető ÁFA-t nem tartalmazó</t>
  </si>
  <si>
    <t>Dologi kiadás</t>
  </si>
  <si>
    <t>könyvvizsgáló</t>
  </si>
  <si>
    <t>reprezentáció</t>
  </si>
  <si>
    <t>bevétel 1 %-ig</t>
  </si>
  <si>
    <t>Munkáltató által fizetett személyi jövedelemadó</t>
  </si>
  <si>
    <t>bruttó bér CJ</t>
  </si>
  <si>
    <t>bruttó bér  F.L</t>
  </si>
  <si>
    <t>járulékok</t>
  </si>
  <si>
    <t>2010. évi Társulási Tanácsi döntésen alapuló</t>
  </si>
  <si>
    <t xml:space="preserve">Saját munkaszervezet költsége </t>
  </si>
  <si>
    <t>Tep kft</t>
  </si>
  <si>
    <t xml:space="preserve">Kamat </t>
  </si>
  <si>
    <t>Befizetendő ÁFA</t>
  </si>
  <si>
    <t xml:space="preserve">nettó bérleti díj </t>
  </si>
  <si>
    <t>Bérleti díj  előleg</t>
  </si>
  <si>
    <t>Össz</t>
  </si>
  <si>
    <t>össz</t>
  </si>
  <si>
    <t>Balatonfűzfő</t>
  </si>
  <si>
    <t>Kompenzáció</t>
  </si>
  <si>
    <t>Összeg 10 évre</t>
  </si>
  <si>
    <t>1 évre</t>
  </si>
  <si>
    <t>Papkeszi</t>
  </si>
  <si>
    <t>Litér</t>
  </si>
  <si>
    <t>Királyszentistván</t>
  </si>
  <si>
    <t>előleg nélkül</t>
  </si>
  <si>
    <t>kifizetett előleg</t>
  </si>
  <si>
    <t>hátralévő előleg</t>
  </si>
  <si>
    <t>Bérleti díj előleg  visszafizetése</t>
  </si>
  <si>
    <t>KEOP 1.1</t>
  </si>
  <si>
    <t>Összes beruházási költség</t>
  </si>
  <si>
    <t>Nettó</t>
  </si>
  <si>
    <t>Áfa</t>
  </si>
  <si>
    <t>Bruttó</t>
  </si>
  <si>
    <t>Mérték</t>
  </si>
  <si>
    <t>Bérköltség</t>
  </si>
  <si>
    <t>KEOP 1.1.1./ B felhalmozási</t>
  </si>
  <si>
    <t>KEOP 1.1.1./ B felhalmozási támogatott</t>
  </si>
  <si>
    <t>KEOP 1.1.1./ B felhalmozási nem támogatott</t>
  </si>
  <si>
    <t>tisztelet díj</t>
  </si>
  <si>
    <t xml:space="preserve">KA felhalmozási bevételek </t>
  </si>
  <si>
    <t>Ebből EU</t>
  </si>
  <si>
    <t xml:space="preserve">Működési bevétel </t>
  </si>
  <si>
    <t xml:space="preserve">                 visszaigényelhető ÁFA</t>
  </si>
  <si>
    <t>Rekultivációs alap elkülönítése</t>
  </si>
  <si>
    <t xml:space="preserve">     Működési bevétel  Áfa nélkül</t>
  </si>
  <si>
    <t xml:space="preserve">     bérleti díj terhére</t>
  </si>
  <si>
    <t>béreti díj terhére</t>
  </si>
  <si>
    <t>ebből EU</t>
  </si>
  <si>
    <t>2011. évi költségek megosztása források szerint</t>
  </si>
  <si>
    <t>előző évi pénzmaradvány</t>
  </si>
  <si>
    <t>díj</t>
  </si>
  <si>
    <t>34 önkormányzat</t>
  </si>
  <si>
    <t xml:space="preserve">    34 önkormányzat befizetése</t>
  </si>
  <si>
    <t>Ebből saját forrás</t>
  </si>
  <si>
    <t>beruházásra kapott bérleti díj előleg</t>
  </si>
  <si>
    <t>KEOP 7.2.3.0 felhalmozási</t>
  </si>
  <si>
    <t>KEOP  7.2.3.0 felhalmozási támogatott</t>
  </si>
  <si>
    <t xml:space="preserve">KEOP 7. 2.3.0 felhalmozási támogatott tartalék </t>
  </si>
  <si>
    <t>KEOP  7.2.3.0 felhalmozási nem támogatott</t>
  </si>
  <si>
    <t>KEOP 7.2.3.0 II. ütem felhalmozási</t>
  </si>
  <si>
    <t>KEOP 7.2.3.0 II felhalmozási támogatott</t>
  </si>
  <si>
    <t xml:space="preserve">  KEOP 7.2.3.0 II  felhalmozási nem támogatott</t>
  </si>
  <si>
    <t>KEOP 7.2.3.0 II . ütem felhalmozási</t>
  </si>
  <si>
    <t xml:space="preserve">KEOP 7.2.3.0 II felhalmozási </t>
  </si>
  <si>
    <t>KEOP 7.2.3.0 II  felhalmozási támogatott tartalék</t>
  </si>
  <si>
    <t>KEOP 7.2.3.0 II  felhalmozási nem támogatott</t>
  </si>
  <si>
    <t>Felhalmozási  alap elkülönítése</t>
  </si>
  <si>
    <t>kamata jún 15-én visszafizetve</t>
  </si>
  <si>
    <t>nov-május</t>
  </si>
  <si>
    <t>okt 28-okt 30</t>
  </si>
  <si>
    <t>jún -jún 15</t>
  </si>
  <si>
    <t>2010. évi Bérleti díj előleg  visszafizetése</t>
  </si>
  <si>
    <t>2011 Bérleti díj előleg  visszafizetése</t>
  </si>
  <si>
    <t>Befizetendő ÁFA (finanszírozással kapcsolatos)</t>
  </si>
  <si>
    <t>Felhalmozási nem támogatott üzemeltetés</t>
  </si>
  <si>
    <t>Felhalmozási nem támogatott megvalósítás</t>
  </si>
  <si>
    <t>ebből 2010. évi KEOP befizetés</t>
  </si>
  <si>
    <t xml:space="preserve">    ebből 2010. KEOP befizetés</t>
  </si>
  <si>
    <t>Önkormányzatok befizetése</t>
  </si>
  <si>
    <t>ebből bevétel</t>
  </si>
  <si>
    <t>ebből ÁFA</t>
  </si>
  <si>
    <t>ebből  Áfa</t>
  </si>
  <si>
    <t xml:space="preserve"> bérleti díj terhére</t>
  </si>
  <si>
    <t xml:space="preserve">       saját bevétel ÁFA</t>
  </si>
  <si>
    <t>Felhalmozási kiadások fedezetére bérleti díj előleg ÁFA</t>
  </si>
  <si>
    <t>Társulás működésével kapcsolatos kiadások fedezetére bérleti díj ÁFA-ja</t>
  </si>
  <si>
    <t>2011 évi kifizetések után visszaigényelhető ÁFA</t>
  </si>
  <si>
    <t>ebből 2010 évi kifizetések után visszaigényelhető ÁFA</t>
  </si>
  <si>
    <t>rendezvény</t>
  </si>
  <si>
    <t>Munkaszervezet felhalmozási kiadások</t>
  </si>
  <si>
    <t>Önkormányzat befizetés</t>
  </si>
  <si>
    <t>irodabérlet</t>
  </si>
  <si>
    <t>ebből nem támogatott</t>
  </si>
  <si>
    <t>Cafeteria [fő]</t>
  </si>
  <si>
    <t>Cafeteria költségtérítés 2010-re</t>
  </si>
  <si>
    <t>Avermann</t>
  </si>
  <si>
    <t>Városkert</t>
  </si>
  <si>
    <t>Otto</t>
  </si>
  <si>
    <t>LOT3</t>
  </si>
  <si>
    <t>LOT1</t>
  </si>
  <si>
    <t>LOT2</t>
  </si>
  <si>
    <t>SKBH</t>
  </si>
  <si>
    <t>Főber</t>
  </si>
  <si>
    <t>Összesen:</t>
  </si>
  <si>
    <t>Visszaigényelhető Áfa:</t>
  </si>
  <si>
    <t>Fizetendő ÁFA</t>
  </si>
  <si>
    <t>6 hónapra</t>
  </si>
  <si>
    <t>12 hóra</t>
  </si>
  <si>
    <t>2011.jan</t>
  </si>
  <si>
    <t>Működési célú pénzeszközátadás</t>
  </si>
  <si>
    <t>saját bevétel</t>
  </si>
  <si>
    <t>Önkormányzati befizetés</t>
  </si>
  <si>
    <t>Járulékok</t>
  </si>
  <si>
    <t xml:space="preserve">Visszafizetések </t>
  </si>
  <si>
    <t>2011 saját forrás tartalék</t>
  </si>
  <si>
    <t>Beruházás tartaléka</t>
  </si>
  <si>
    <t>Különbség</t>
  </si>
  <si>
    <t>Támogatás 85 %</t>
  </si>
  <si>
    <t>Saját forrás 15 %</t>
  </si>
  <si>
    <t>Ellenőrzés</t>
  </si>
  <si>
    <t>2011 évi befizetés</t>
  </si>
  <si>
    <t>Telefon</t>
  </si>
  <si>
    <t>egyéb dologi kiadás</t>
  </si>
  <si>
    <t>2011. évi költségvetés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</si>
</sst>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800]dddd\,\ mmmm\ dd\,\ yyyy"/>
    <numFmt numFmtId="165" formatCode="[$-40E]yyyy\.\ mmmm\ d\."/>
    <numFmt numFmtId="166" formatCode="0.0%"/>
    <numFmt numFmtId="167" formatCode="0.000%"/>
    <numFmt numFmtId="168" formatCode="#,##0.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17"/>
      <name val="Times New Roman"/>
      <family val="1"/>
    </font>
    <font>
      <sz val="10"/>
      <color indexed="20"/>
      <name val="Times New Roman"/>
      <family val="1"/>
    </font>
    <font>
      <sz val="10"/>
      <color indexed="10"/>
      <name val="Times New Roman"/>
      <family val="1"/>
    </font>
    <font>
      <i/>
      <sz val="10"/>
      <color indexed="23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9"/>
      <name val="Times New Roman"/>
      <family val="1"/>
    </font>
    <font>
      <sz val="8"/>
      <name val="Verdana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Verdana"/>
      <family val="2"/>
    </font>
    <font>
      <sz val="8"/>
      <color indexed="8"/>
      <name val="times 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36"/>
      <name val="Times New Roman"/>
      <family val="1"/>
    </font>
    <font>
      <sz val="10"/>
      <color indexed="36"/>
      <name val="times 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7030A0"/>
      <name val="Times New Roman"/>
      <family val="1"/>
    </font>
    <font>
      <sz val="8"/>
      <color rgb="FF7030A0"/>
      <name val="Times New Roman"/>
      <family val="1"/>
    </font>
    <font>
      <sz val="10"/>
      <color rgb="FF7030A0"/>
      <name val="times "/>
      <family val="0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1" fillId="0" borderId="0" applyFont="0" applyFill="0" applyBorder="0" applyAlignment="0" applyProtection="0"/>
  </cellStyleXfs>
  <cellXfs count="350">
    <xf numFmtId="0" fontId="0" fillId="0" borderId="0" xfId="0" applyFont="1" applyAlignment="1">
      <alignment/>
    </xf>
    <xf numFmtId="3" fontId="3" fillId="0" borderId="0" xfId="56" applyNumberFormat="1" applyFont="1">
      <alignment/>
      <protection/>
    </xf>
    <xf numFmtId="0" fontId="3" fillId="0" borderId="0" xfId="56" applyNumberFormat="1" applyFont="1">
      <alignment/>
      <protection/>
    </xf>
    <xf numFmtId="164" fontId="4" fillId="0" borderId="0" xfId="56" applyNumberFormat="1" applyFont="1" applyAlignment="1">
      <alignment horizontal="right"/>
      <protection/>
    </xf>
    <xf numFmtId="3" fontId="5" fillId="0" borderId="0" xfId="56" applyNumberFormat="1" applyFont="1">
      <alignment/>
      <protection/>
    </xf>
    <xf numFmtId="3" fontId="7" fillId="0" borderId="0" xfId="56" applyNumberFormat="1" applyFont="1" applyBorder="1">
      <alignment/>
      <protection/>
    </xf>
    <xf numFmtId="3" fontId="8" fillId="0" borderId="0" xfId="56" applyNumberFormat="1" applyFont="1" applyBorder="1">
      <alignment/>
      <protection/>
    </xf>
    <xf numFmtId="0" fontId="8" fillId="0" borderId="0" xfId="56" applyNumberFormat="1" applyFont="1" applyBorder="1">
      <alignment/>
      <protection/>
    </xf>
    <xf numFmtId="3" fontId="6" fillId="0" borderId="0" xfId="56" applyNumberFormat="1" applyFont="1">
      <alignment/>
      <protection/>
    </xf>
    <xf numFmtId="3" fontId="6" fillId="0" borderId="0" xfId="56" applyNumberFormat="1" applyFont="1" applyBorder="1">
      <alignment/>
      <protection/>
    </xf>
    <xf numFmtId="3" fontId="9" fillId="0" borderId="0" xfId="56" applyNumberFormat="1" applyFont="1" applyBorder="1">
      <alignment/>
      <protection/>
    </xf>
    <xf numFmtId="3" fontId="3" fillId="0" borderId="0" xfId="56" applyNumberFormat="1" applyFont="1" applyBorder="1">
      <alignment/>
      <protection/>
    </xf>
    <xf numFmtId="0" fontId="3" fillId="0" borderId="0" xfId="56" applyNumberFormat="1" applyFont="1" applyBorder="1">
      <alignment/>
      <protection/>
    </xf>
    <xf numFmtId="3" fontId="9" fillId="0" borderId="0" xfId="56" applyNumberFormat="1" applyFont="1">
      <alignment/>
      <protection/>
    </xf>
    <xf numFmtId="0" fontId="6" fillId="0" borderId="0" xfId="56" applyNumberFormat="1" applyFont="1">
      <alignment/>
      <protection/>
    </xf>
    <xf numFmtId="3" fontId="10" fillId="0" borderId="0" xfId="56" applyNumberFormat="1" applyFont="1">
      <alignment/>
      <protection/>
    </xf>
    <xf numFmtId="0" fontId="10" fillId="0" borderId="0" xfId="56" applyNumberFormat="1" applyFont="1">
      <alignment/>
      <protection/>
    </xf>
    <xf numFmtId="3" fontId="3" fillId="0" borderId="0" xfId="56" applyNumberFormat="1" applyFont="1" applyAlignment="1">
      <alignment horizontal="left" indent="1"/>
      <protection/>
    </xf>
    <xf numFmtId="10" fontId="3" fillId="0" borderId="0" xfId="56" applyNumberFormat="1" applyFont="1">
      <alignment/>
      <protection/>
    </xf>
    <xf numFmtId="3" fontId="11" fillId="0" borderId="0" xfId="56" applyNumberFormat="1" applyFont="1">
      <alignment/>
      <protection/>
    </xf>
    <xf numFmtId="10" fontId="3" fillId="0" borderId="0" xfId="56" applyNumberFormat="1" applyFont="1" applyBorder="1">
      <alignment/>
      <protection/>
    </xf>
    <xf numFmtId="3" fontId="12" fillId="0" borderId="0" xfId="56" applyNumberFormat="1" applyFont="1">
      <alignment/>
      <protection/>
    </xf>
    <xf numFmtId="3" fontId="13" fillId="0" borderId="0" xfId="56" applyNumberFormat="1" applyFont="1">
      <alignment/>
      <protection/>
    </xf>
    <xf numFmtId="3" fontId="3" fillId="33" borderId="10" xfId="56" applyNumberFormat="1" applyFont="1" applyFill="1" applyBorder="1">
      <alignment/>
      <protection/>
    </xf>
    <xf numFmtId="0" fontId="3" fillId="33" borderId="10" xfId="56" applyNumberFormat="1" applyFont="1" applyFill="1" applyBorder="1">
      <alignment/>
      <protection/>
    </xf>
    <xf numFmtId="3" fontId="6" fillId="34" borderId="0" xfId="56" applyNumberFormat="1" applyFont="1" applyFill="1">
      <alignment/>
      <protection/>
    </xf>
    <xf numFmtId="0" fontId="6" fillId="34" borderId="0" xfId="56" applyNumberFormat="1" applyFont="1" applyFill="1">
      <alignment/>
      <protection/>
    </xf>
    <xf numFmtId="3" fontId="14" fillId="0" borderId="0" xfId="56" applyNumberFormat="1" applyFont="1">
      <alignment/>
      <protection/>
    </xf>
    <xf numFmtId="3" fontId="3" fillId="0" borderId="0" xfId="56" applyNumberFormat="1" applyFont="1" applyFill="1">
      <alignment/>
      <protection/>
    </xf>
    <xf numFmtId="3" fontId="16" fillId="0" borderId="0" xfId="56" applyNumberFormat="1" applyFont="1">
      <alignment/>
      <protection/>
    </xf>
    <xf numFmtId="3" fontId="19" fillId="0" borderId="0" xfId="0" applyNumberFormat="1" applyFont="1" applyAlignment="1">
      <alignment vertical="center"/>
    </xf>
    <xf numFmtId="3" fontId="6" fillId="0" borderId="0" xfId="56" applyNumberFormat="1" applyFont="1" applyFill="1">
      <alignment/>
      <protection/>
    </xf>
    <xf numFmtId="0" fontId="6" fillId="0" borderId="0" xfId="56" applyNumberFormat="1" applyFont="1" applyFill="1">
      <alignment/>
      <protection/>
    </xf>
    <xf numFmtId="3" fontId="13" fillId="0" borderId="0" xfId="56" applyNumberFormat="1" applyFont="1" applyFill="1">
      <alignment/>
      <protection/>
    </xf>
    <xf numFmtId="3" fontId="6" fillId="33" borderId="10" xfId="56" applyNumberFormat="1" applyFont="1" applyFill="1" applyBorder="1">
      <alignment/>
      <protection/>
    </xf>
    <xf numFmtId="3" fontId="14" fillId="0" borderId="0" xfId="56" applyNumberFormat="1" applyFont="1" applyFill="1">
      <alignment/>
      <protection/>
    </xf>
    <xf numFmtId="0" fontId="17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3" fontId="3" fillId="0" borderId="0" xfId="56" applyNumberFormat="1" applyFont="1" applyFill="1" applyBorder="1">
      <alignment/>
      <protection/>
    </xf>
    <xf numFmtId="0" fontId="3" fillId="0" borderId="12" xfId="58" applyBorder="1" applyAlignment="1">
      <alignment vertical="center"/>
      <protection/>
    </xf>
    <xf numFmtId="0" fontId="3" fillId="0" borderId="13" xfId="58" applyBorder="1" applyAlignment="1">
      <alignment vertical="center"/>
      <protection/>
    </xf>
    <xf numFmtId="0" fontId="3" fillId="0" borderId="14" xfId="58" applyBorder="1" applyAlignment="1">
      <alignment vertical="center"/>
      <protection/>
    </xf>
    <xf numFmtId="0" fontId="3" fillId="0" borderId="0" xfId="58" applyAlignment="1">
      <alignment vertical="center"/>
      <protection/>
    </xf>
    <xf numFmtId="0" fontId="3" fillId="0" borderId="15" xfId="58" applyBorder="1" applyAlignment="1">
      <alignment vertical="center"/>
      <protection/>
    </xf>
    <xf numFmtId="0" fontId="6" fillId="33" borderId="0" xfId="58" applyFont="1" applyFill="1" applyBorder="1" applyAlignment="1">
      <alignment vertical="center"/>
      <protection/>
    </xf>
    <xf numFmtId="0" fontId="3" fillId="0" borderId="0" xfId="58" applyBorder="1" applyAlignment="1">
      <alignment vertical="center"/>
      <protection/>
    </xf>
    <xf numFmtId="0" fontId="3" fillId="0" borderId="16" xfId="58" applyBorder="1" applyAlignment="1">
      <alignment vertical="center"/>
      <protection/>
    </xf>
    <xf numFmtId="0" fontId="6" fillId="0" borderId="12" xfId="58" applyFont="1" applyBorder="1" applyAlignment="1">
      <alignment vertical="center"/>
      <protection/>
    </xf>
    <xf numFmtId="0" fontId="6" fillId="0" borderId="13" xfId="58" applyFont="1" applyBorder="1" applyAlignment="1">
      <alignment vertical="center"/>
      <protection/>
    </xf>
    <xf numFmtId="3" fontId="3" fillId="0" borderId="0" xfId="58" applyNumberFormat="1" applyBorder="1" applyAlignment="1">
      <alignment vertical="center"/>
      <protection/>
    </xf>
    <xf numFmtId="3" fontId="3" fillId="0" borderId="16" xfId="58" applyNumberFormat="1" applyBorder="1" applyAlignment="1">
      <alignment vertical="center"/>
      <protection/>
    </xf>
    <xf numFmtId="3" fontId="3" fillId="0" borderId="0" xfId="58" applyNumberFormat="1" applyAlignment="1">
      <alignment vertical="center"/>
      <protection/>
    </xf>
    <xf numFmtId="10" fontId="11" fillId="0" borderId="0" xfId="58" applyNumberFormat="1" applyFont="1" applyAlignment="1">
      <alignment vertical="center"/>
      <protection/>
    </xf>
    <xf numFmtId="0" fontId="3" fillId="33" borderId="0" xfId="58" applyFill="1" applyBorder="1" applyAlignment="1">
      <alignment vertical="center"/>
      <protection/>
    </xf>
    <xf numFmtId="3" fontId="6" fillId="33" borderId="0" xfId="58" applyNumberFormat="1" applyFont="1" applyFill="1" applyBorder="1" applyAlignment="1">
      <alignment vertical="center"/>
      <protection/>
    </xf>
    <xf numFmtId="0" fontId="3" fillId="33" borderId="17" xfId="58" applyFill="1" applyBorder="1" applyAlignment="1">
      <alignment horizontal="center" vertical="center"/>
      <protection/>
    </xf>
    <xf numFmtId="0" fontId="3" fillId="33" borderId="16" xfId="58" applyFill="1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17" xfId="58" applyBorder="1" applyAlignment="1">
      <alignment vertical="center"/>
      <protection/>
    </xf>
    <xf numFmtId="0" fontId="3" fillId="0" borderId="18" xfId="58" applyBorder="1" applyAlignment="1">
      <alignment vertical="center"/>
      <protection/>
    </xf>
    <xf numFmtId="3" fontId="6" fillId="35" borderId="19" xfId="58" applyNumberFormat="1" applyFont="1" applyFill="1" applyBorder="1" applyAlignment="1">
      <alignment vertical="center"/>
      <protection/>
    </xf>
    <xf numFmtId="0" fontId="6" fillId="34" borderId="20" xfId="58" applyFont="1" applyFill="1" applyBorder="1" applyAlignment="1">
      <alignment vertical="center"/>
      <protection/>
    </xf>
    <xf numFmtId="0" fontId="3" fillId="0" borderId="20" xfId="58" applyBorder="1" applyAlignment="1">
      <alignment vertical="center"/>
      <protection/>
    </xf>
    <xf numFmtId="0" fontId="3" fillId="0" borderId="21" xfId="58" applyBorder="1" applyAlignment="1">
      <alignment vertical="center"/>
      <protection/>
    </xf>
    <xf numFmtId="0" fontId="6" fillId="34" borderId="22" xfId="58" applyFont="1" applyFill="1" applyBorder="1" applyAlignment="1">
      <alignment vertical="center"/>
      <protection/>
    </xf>
    <xf numFmtId="3" fontId="6" fillId="36" borderId="21" xfId="58" applyNumberFormat="1" applyFont="1" applyFill="1" applyBorder="1" applyAlignment="1">
      <alignment vertical="center"/>
      <protection/>
    </xf>
    <xf numFmtId="0" fontId="3" fillId="0" borderId="22" xfId="58" applyBorder="1" applyAlignment="1">
      <alignment vertical="center"/>
      <protection/>
    </xf>
    <xf numFmtId="0" fontId="3" fillId="0" borderId="23" xfId="58" applyBorder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3" fillId="0" borderId="0" xfId="58" applyAlignment="1">
      <alignment vertical="center" wrapText="1"/>
      <protection/>
    </xf>
    <xf numFmtId="0" fontId="20" fillId="0" borderId="24" xfId="0" applyFont="1" applyBorder="1" applyAlignment="1">
      <alignment horizontal="left" indent="1"/>
    </xf>
    <xf numFmtId="0" fontId="20" fillId="0" borderId="0" xfId="0" applyFont="1" applyBorder="1" applyAlignment="1">
      <alignment horizontal="left" indent="1"/>
    </xf>
    <xf numFmtId="4" fontId="17" fillId="0" borderId="0" xfId="0" applyNumberFormat="1" applyFont="1" applyAlignment="1">
      <alignment vertical="center"/>
    </xf>
    <xf numFmtId="0" fontId="3" fillId="0" borderId="0" xfId="58" applyAlignment="1">
      <alignment horizontal="center" vertical="center"/>
      <protection/>
    </xf>
    <xf numFmtId="0" fontId="3" fillId="0" borderId="25" xfId="58" applyBorder="1" applyAlignment="1">
      <alignment vertical="center"/>
      <protection/>
    </xf>
    <xf numFmtId="0" fontId="3" fillId="33" borderId="0" xfId="58" applyFill="1" applyBorder="1" applyAlignment="1">
      <alignment horizontal="center" vertical="center"/>
      <protection/>
    </xf>
    <xf numFmtId="0" fontId="6" fillId="0" borderId="26" xfId="58" applyFont="1" applyBorder="1" applyAlignment="1">
      <alignment horizontal="center" vertical="center"/>
      <protection/>
    </xf>
    <xf numFmtId="0" fontId="6" fillId="0" borderId="27" xfId="58" applyFont="1" applyBorder="1" applyAlignment="1">
      <alignment horizontal="center" vertical="center"/>
      <protection/>
    </xf>
    <xf numFmtId="3" fontId="6" fillId="0" borderId="28" xfId="58" applyNumberFormat="1" applyFont="1" applyBorder="1" applyAlignment="1">
      <alignment vertical="center"/>
      <protection/>
    </xf>
    <xf numFmtId="3" fontId="6" fillId="0" borderId="29" xfId="58" applyNumberFormat="1" applyFont="1" applyBorder="1" applyAlignment="1">
      <alignment vertical="center"/>
      <protection/>
    </xf>
    <xf numFmtId="3" fontId="3" fillId="0" borderId="26" xfId="58" applyNumberFormat="1" applyFont="1" applyBorder="1" applyAlignment="1">
      <alignment vertical="center"/>
      <protection/>
    </xf>
    <xf numFmtId="3" fontId="3" fillId="0" borderId="27" xfId="58" applyNumberFormat="1" applyFont="1" applyBorder="1" applyAlignment="1">
      <alignment vertical="center"/>
      <protection/>
    </xf>
    <xf numFmtId="0" fontId="6" fillId="0" borderId="13" xfId="58" applyFont="1" applyBorder="1" applyAlignment="1">
      <alignment horizontal="left" vertical="center"/>
      <protection/>
    </xf>
    <xf numFmtId="0" fontId="3" fillId="0" borderId="30" xfId="58" applyBorder="1" applyAlignment="1">
      <alignment vertical="center"/>
      <protection/>
    </xf>
    <xf numFmtId="3" fontId="3" fillId="0" borderId="31" xfId="58" applyNumberFormat="1" applyBorder="1" applyAlignment="1">
      <alignment vertical="center"/>
      <protection/>
    </xf>
    <xf numFmtId="3" fontId="3" fillId="0" borderId="25" xfId="58" applyNumberFormat="1" applyBorder="1" applyAlignment="1">
      <alignment vertical="center"/>
      <protection/>
    </xf>
    <xf numFmtId="0" fontId="3" fillId="0" borderId="30" xfId="58" applyFont="1" applyBorder="1" applyAlignment="1">
      <alignment vertical="center"/>
      <protection/>
    </xf>
    <xf numFmtId="0" fontId="3" fillId="0" borderId="10" xfId="58" applyBorder="1" applyAlignment="1">
      <alignment vertical="center"/>
      <protection/>
    </xf>
    <xf numFmtId="3" fontId="3" fillId="0" borderId="32" xfId="58" applyNumberFormat="1" applyBorder="1" applyAlignment="1">
      <alignment vertical="center"/>
      <protection/>
    </xf>
    <xf numFmtId="0" fontId="3" fillId="0" borderId="21" xfId="58" applyFont="1" applyBorder="1" applyAlignment="1">
      <alignment vertical="center"/>
      <protection/>
    </xf>
    <xf numFmtId="0" fontId="3" fillId="0" borderId="33" xfId="58" applyFont="1" applyBorder="1" applyAlignment="1">
      <alignment horizontal="left" vertical="center"/>
      <protection/>
    </xf>
    <xf numFmtId="3" fontId="3" fillId="0" borderId="34" xfId="58" applyNumberFormat="1" applyFont="1" applyBorder="1" applyAlignment="1">
      <alignment vertical="center"/>
      <protection/>
    </xf>
    <xf numFmtId="3" fontId="3" fillId="0" borderId="35" xfId="58" applyNumberFormat="1" applyFont="1" applyBorder="1" applyAlignment="1">
      <alignment vertical="center"/>
      <protection/>
    </xf>
    <xf numFmtId="0" fontId="3" fillId="0" borderId="10" xfId="58" applyFont="1" applyBorder="1" applyAlignment="1">
      <alignment vertical="center"/>
      <protection/>
    </xf>
    <xf numFmtId="3" fontId="6" fillId="0" borderId="36" xfId="58" applyNumberFormat="1" applyFont="1" applyBorder="1" applyAlignment="1">
      <alignment vertical="center"/>
      <protection/>
    </xf>
    <xf numFmtId="3" fontId="3" fillId="0" borderId="34" xfId="58" applyNumberFormat="1" applyBorder="1" applyAlignment="1">
      <alignment vertical="center"/>
      <protection/>
    </xf>
    <xf numFmtId="3" fontId="6" fillId="34" borderId="37" xfId="58" applyNumberFormat="1" applyFont="1" applyFill="1" applyBorder="1" applyAlignment="1">
      <alignment vertical="center"/>
      <protection/>
    </xf>
    <xf numFmtId="0" fontId="3" fillId="0" borderId="15" xfId="58" applyFill="1" applyBorder="1" applyAlignment="1">
      <alignment vertical="center"/>
      <protection/>
    </xf>
    <xf numFmtId="0" fontId="3" fillId="0" borderId="38" xfId="58" applyFont="1" applyBorder="1" applyAlignment="1">
      <alignment horizontal="left" vertical="center"/>
      <protection/>
    </xf>
    <xf numFmtId="3" fontId="6" fillId="34" borderId="39" xfId="58" applyNumberFormat="1" applyFont="1" applyFill="1" applyBorder="1" applyAlignment="1">
      <alignment vertical="center"/>
      <protection/>
    </xf>
    <xf numFmtId="3" fontId="6" fillId="34" borderId="40" xfId="58" applyNumberFormat="1" applyFont="1" applyFill="1" applyBorder="1" applyAlignment="1">
      <alignment vertical="center"/>
      <protection/>
    </xf>
    <xf numFmtId="3" fontId="3" fillId="0" borderId="0" xfId="58" applyNumberFormat="1" applyAlignment="1">
      <alignment vertical="center" wrapText="1"/>
      <protection/>
    </xf>
    <xf numFmtId="0" fontId="6" fillId="0" borderId="0" xfId="58" applyFont="1" applyFill="1" applyBorder="1" applyAlignment="1">
      <alignment vertical="center"/>
      <protection/>
    </xf>
    <xf numFmtId="3" fontId="6" fillId="0" borderId="0" xfId="58" applyNumberFormat="1" applyFont="1" applyFill="1" applyBorder="1" applyAlignment="1">
      <alignment vertical="center"/>
      <protection/>
    </xf>
    <xf numFmtId="0" fontId="3" fillId="0" borderId="0" xfId="58" applyFill="1" applyBorder="1" applyAlignment="1">
      <alignment vertical="center"/>
      <protection/>
    </xf>
    <xf numFmtId="0" fontId="3" fillId="0" borderId="16" xfId="58" applyFill="1" applyBorder="1" applyAlignment="1">
      <alignment vertical="center"/>
      <protection/>
    </xf>
    <xf numFmtId="0" fontId="3" fillId="0" borderId="19" xfId="58" applyFill="1" applyBorder="1" applyAlignment="1">
      <alignment vertical="center"/>
      <protection/>
    </xf>
    <xf numFmtId="0" fontId="6" fillId="34" borderId="41" xfId="58" applyFont="1" applyFill="1" applyBorder="1" applyAlignment="1">
      <alignment vertical="center"/>
      <protection/>
    </xf>
    <xf numFmtId="0" fontId="3" fillId="0" borderId="0" xfId="58" applyFont="1" applyAlignment="1">
      <alignment vertical="center" wrapText="1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 vertical="center"/>
      <protection/>
    </xf>
    <xf numFmtId="3" fontId="6" fillId="0" borderId="0" xfId="58" applyNumberFormat="1" applyFont="1" applyAlignment="1">
      <alignment vertical="center"/>
      <protection/>
    </xf>
    <xf numFmtId="0" fontId="3" fillId="0" borderId="28" xfId="58" applyFont="1" applyBorder="1" applyAlignment="1">
      <alignment horizontal="center" vertical="center"/>
      <protection/>
    </xf>
    <xf numFmtId="0" fontId="3" fillId="0" borderId="29" xfId="58" applyFont="1" applyBorder="1" applyAlignment="1">
      <alignment horizontal="center" vertical="center"/>
      <protection/>
    </xf>
    <xf numFmtId="0" fontId="6" fillId="0" borderId="42" xfId="58" applyFont="1" applyBorder="1" applyAlignment="1">
      <alignment vertical="center"/>
      <protection/>
    </xf>
    <xf numFmtId="3" fontId="6" fillId="0" borderId="43" xfId="58" applyNumberFormat="1" applyFont="1" applyBorder="1" applyAlignment="1">
      <alignment vertical="center"/>
      <protection/>
    </xf>
    <xf numFmtId="3" fontId="16" fillId="0" borderId="0" xfId="56" applyNumberFormat="1" applyFont="1" applyAlignment="1">
      <alignment horizontal="left" indent="1"/>
      <protection/>
    </xf>
    <xf numFmtId="0" fontId="16" fillId="0" borderId="0" xfId="56" applyNumberFormat="1" applyFont="1">
      <alignment/>
      <protection/>
    </xf>
    <xf numFmtId="0" fontId="3" fillId="0" borderId="0" xfId="56" applyNumberFormat="1" applyFont="1" applyFill="1">
      <alignment/>
      <protection/>
    </xf>
    <xf numFmtId="3" fontId="13" fillId="0" borderId="0" xfId="56" applyNumberFormat="1" applyFont="1" applyFill="1" applyBorder="1">
      <alignment/>
      <protection/>
    </xf>
    <xf numFmtId="0" fontId="3" fillId="0" borderId="0" xfId="56" applyNumberFormat="1" applyFont="1" applyFill="1" applyBorder="1">
      <alignment/>
      <protection/>
    </xf>
    <xf numFmtId="3" fontId="11" fillId="0" borderId="0" xfId="56" applyNumberFormat="1" applyFont="1" applyFill="1" applyBorder="1">
      <alignment/>
      <protection/>
    </xf>
    <xf numFmtId="0" fontId="3" fillId="0" borderId="44" xfId="58" applyFont="1" applyBorder="1" applyAlignment="1">
      <alignment horizontal="center" vertical="center"/>
      <protection/>
    </xf>
    <xf numFmtId="0" fontId="6" fillId="0" borderId="45" xfId="58" applyFont="1" applyBorder="1" applyAlignment="1">
      <alignment horizontal="center" vertical="center"/>
      <protection/>
    </xf>
    <xf numFmtId="3" fontId="6" fillId="35" borderId="46" xfId="58" applyNumberFormat="1" applyFont="1" applyFill="1" applyBorder="1" applyAlignment="1">
      <alignment vertical="center"/>
      <protection/>
    </xf>
    <xf numFmtId="3" fontId="3" fillId="0" borderId="47" xfId="58" applyNumberFormat="1" applyBorder="1" applyAlignment="1">
      <alignment vertical="center"/>
      <protection/>
    </xf>
    <xf numFmtId="3" fontId="3" fillId="0" borderId="48" xfId="58" applyNumberFormat="1" applyBorder="1" applyAlignment="1">
      <alignment vertical="center"/>
      <protection/>
    </xf>
    <xf numFmtId="3" fontId="3" fillId="0" borderId="31" xfId="58" applyNumberFormat="1" applyFont="1" applyBorder="1" applyAlignment="1">
      <alignment vertical="center"/>
      <protection/>
    </xf>
    <xf numFmtId="3" fontId="3" fillId="0" borderId="25" xfId="58" applyNumberFormat="1" applyFont="1" applyBorder="1" applyAlignment="1">
      <alignment vertical="center"/>
      <protection/>
    </xf>
    <xf numFmtId="3" fontId="3" fillId="0" borderId="48" xfId="58" applyNumberFormat="1" applyFont="1" applyBorder="1" applyAlignment="1">
      <alignment vertical="center"/>
      <protection/>
    </xf>
    <xf numFmtId="3" fontId="3" fillId="0" borderId="45" xfId="58" applyNumberFormat="1" applyFont="1" applyBorder="1" applyAlignment="1">
      <alignment vertical="center"/>
      <protection/>
    </xf>
    <xf numFmtId="3" fontId="6" fillId="35" borderId="44" xfId="58" applyNumberFormat="1" applyFont="1" applyFill="1" applyBorder="1" applyAlignment="1">
      <alignment vertical="center"/>
      <protection/>
    </xf>
    <xf numFmtId="3" fontId="3" fillId="0" borderId="49" xfId="58" applyNumberFormat="1" applyFont="1" applyBorder="1" applyAlignment="1">
      <alignment vertical="center"/>
      <protection/>
    </xf>
    <xf numFmtId="3" fontId="6" fillId="35" borderId="50" xfId="58" applyNumberFormat="1" applyFont="1" applyFill="1" applyBorder="1" applyAlignment="1">
      <alignment vertical="center"/>
      <protection/>
    </xf>
    <xf numFmtId="3" fontId="3" fillId="0" borderId="51" xfId="58" applyNumberFormat="1" applyBorder="1" applyAlignment="1">
      <alignment vertical="center"/>
      <protection/>
    </xf>
    <xf numFmtId="3" fontId="23" fillId="0" borderId="52" xfId="58" applyNumberFormat="1" applyFont="1" applyBorder="1" applyAlignment="1">
      <alignment horizontal="right" vertical="center"/>
      <protection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3" fontId="21" fillId="0" borderId="24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32" xfId="0" applyNumberFormat="1" applyFont="1" applyBorder="1" applyAlignment="1">
      <alignment vertical="center"/>
    </xf>
    <xf numFmtId="3" fontId="19" fillId="0" borderId="34" xfId="0" applyNumberFormat="1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54" xfId="0" applyNumberFormat="1" applyFont="1" applyBorder="1" applyAlignment="1">
      <alignment horizontal="center" vertical="center" wrapText="1"/>
    </xf>
    <xf numFmtId="0" fontId="19" fillId="0" borderId="55" xfId="0" applyFont="1" applyBorder="1" applyAlignment="1">
      <alignment vertical="center"/>
    </xf>
    <xf numFmtId="3" fontId="19" fillId="0" borderId="35" xfId="0" applyNumberFormat="1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3" fontId="19" fillId="0" borderId="57" xfId="0" applyNumberFormat="1" applyFont="1" applyBorder="1" applyAlignment="1">
      <alignment vertical="center"/>
    </xf>
    <xf numFmtId="3" fontId="19" fillId="0" borderId="58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3" fontId="19" fillId="34" borderId="22" xfId="0" applyNumberFormat="1" applyFont="1" applyFill="1" applyBorder="1" applyAlignment="1">
      <alignment vertical="center"/>
    </xf>
    <xf numFmtId="0" fontId="18" fillId="0" borderId="19" xfId="0" applyFont="1" applyBorder="1" applyAlignment="1">
      <alignment vertical="center"/>
    </xf>
    <xf numFmtId="3" fontId="19" fillId="0" borderId="43" xfId="0" applyNumberFormat="1" applyFont="1" applyBorder="1" applyAlignment="1">
      <alignment vertical="center"/>
    </xf>
    <xf numFmtId="0" fontId="19" fillId="0" borderId="51" xfId="0" applyFont="1" applyBorder="1" applyAlignment="1">
      <alignment horizontal="left" vertical="center" indent="1"/>
    </xf>
    <xf numFmtId="0" fontId="19" fillId="37" borderId="31" xfId="0" applyFont="1" applyFill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19" fillId="37" borderId="61" xfId="0" applyFont="1" applyFill="1" applyBorder="1" applyAlignment="1">
      <alignment vertical="center"/>
    </xf>
    <xf numFmtId="3" fontId="22" fillId="0" borderId="37" xfId="0" applyNumberFormat="1" applyFont="1" applyBorder="1" applyAlignment="1">
      <alignment horizontal="center" vertical="center"/>
    </xf>
    <xf numFmtId="1" fontId="22" fillId="0" borderId="37" xfId="0" applyNumberFormat="1" applyFont="1" applyBorder="1" applyAlignment="1">
      <alignment horizontal="center" vertical="center"/>
    </xf>
    <xf numFmtId="0" fontId="19" fillId="0" borderId="62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9" xfId="0" applyNumberFormat="1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3" fontId="19" fillId="0" borderId="63" xfId="0" applyNumberFormat="1" applyFont="1" applyBorder="1" applyAlignment="1">
      <alignment vertical="center"/>
    </xf>
    <xf numFmtId="3" fontId="19" fillId="0" borderId="64" xfId="0" applyNumberFormat="1" applyFont="1" applyBorder="1" applyAlignment="1">
      <alignment vertical="center"/>
    </xf>
    <xf numFmtId="3" fontId="19" fillId="0" borderId="65" xfId="0" applyNumberFormat="1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19" fillId="0" borderId="67" xfId="0" applyFont="1" applyBorder="1" applyAlignment="1">
      <alignment vertical="center"/>
    </xf>
    <xf numFmtId="3" fontId="19" fillId="0" borderId="46" xfId="0" applyNumberFormat="1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3" fontId="19" fillId="0" borderId="67" xfId="0" applyNumberFormat="1" applyFont="1" applyBorder="1" applyAlignment="1">
      <alignment vertical="center"/>
    </xf>
    <xf numFmtId="0" fontId="19" fillId="0" borderId="6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3" fontId="19" fillId="0" borderId="69" xfId="0" applyNumberFormat="1" applyFont="1" applyBorder="1" applyAlignment="1">
      <alignment vertical="center"/>
    </xf>
    <xf numFmtId="3" fontId="19" fillId="0" borderId="70" xfId="0" applyNumberFormat="1" applyFont="1" applyBorder="1" applyAlignment="1">
      <alignment vertical="center"/>
    </xf>
    <xf numFmtId="3" fontId="19" fillId="0" borderId="71" xfId="0" applyNumberFormat="1" applyFont="1" applyBorder="1" applyAlignment="1">
      <alignment vertical="center"/>
    </xf>
    <xf numFmtId="3" fontId="19" fillId="0" borderId="72" xfId="0" applyNumberFormat="1" applyFont="1" applyBorder="1" applyAlignment="1">
      <alignment vertical="center"/>
    </xf>
    <xf numFmtId="3" fontId="19" fillId="0" borderId="73" xfId="0" applyNumberFormat="1" applyFont="1" applyBorder="1" applyAlignment="1">
      <alignment vertical="center"/>
    </xf>
    <xf numFmtId="3" fontId="10" fillId="0" borderId="0" xfId="56" applyNumberFormat="1" applyFont="1" applyFill="1" applyBorder="1">
      <alignment/>
      <protection/>
    </xf>
    <xf numFmtId="0" fontId="10" fillId="0" borderId="0" xfId="56" applyNumberFormat="1" applyFont="1" applyFill="1">
      <alignment/>
      <protection/>
    </xf>
    <xf numFmtId="3" fontId="10" fillId="0" borderId="0" xfId="56" applyNumberFormat="1" applyFont="1" applyFill="1">
      <alignment/>
      <protection/>
    </xf>
    <xf numFmtId="3" fontId="6" fillId="35" borderId="74" xfId="56" applyNumberFormat="1" applyFont="1" applyFill="1" applyBorder="1" applyAlignment="1">
      <alignment horizontal="center"/>
      <protection/>
    </xf>
    <xf numFmtId="3" fontId="6" fillId="35" borderId="28" xfId="56" applyNumberFormat="1" applyFont="1" applyFill="1" applyBorder="1" applyAlignment="1">
      <alignment horizontal="center"/>
      <protection/>
    </xf>
    <xf numFmtId="3" fontId="6" fillId="35" borderId="75" xfId="56" applyNumberFormat="1" applyFont="1" applyFill="1" applyBorder="1" applyAlignment="1">
      <alignment horizontal="center"/>
      <protection/>
    </xf>
    <xf numFmtId="3" fontId="6" fillId="35" borderId="76" xfId="56" applyNumberFormat="1" applyFont="1" applyFill="1" applyBorder="1">
      <alignment/>
      <protection/>
    </xf>
    <xf numFmtId="3" fontId="3" fillId="33" borderId="13" xfId="56" applyNumberFormat="1" applyFont="1" applyFill="1" applyBorder="1">
      <alignment/>
      <protection/>
    </xf>
    <xf numFmtId="3" fontId="3" fillId="33" borderId="22" xfId="56" applyNumberFormat="1" applyFont="1" applyFill="1" applyBorder="1">
      <alignment/>
      <protection/>
    </xf>
    <xf numFmtId="3" fontId="6" fillId="33" borderId="22" xfId="56" applyNumberFormat="1" applyFont="1" applyFill="1" applyBorder="1">
      <alignment/>
      <protection/>
    </xf>
    <xf numFmtId="3" fontId="6" fillId="33" borderId="13" xfId="56" applyNumberFormat="1" applyFont="1" applyFill="1" applyBorder="1" applyAlignment="1">
      <alignment horizontal="center"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30" xfId="58" applyFont="1" applyBorder="1" applyAlignment="1">
      <alignment horizontal="left" vertical="center"/>
      <protection/>
    </xf>
    <xf numFmtId="0" fontId="3" fillId="38" borderId="0" xfId="58" applyFill="1" applyBorder="1" applyAlignment="1">
      <alignment horizontal="left" vertical="center"/>
      <protection/>
    </xf>
    <xf numFmtId="3" fontId="3" fillId="38" borderId="26" xfId="58" applyNumberFormat="1" applyFill="1" applyBorder="1" applyAlignment="1">
      <alignment vertical="center"/>
      <protection/>
    </xf>
    <xf numFmtId="3" fontId="0" fillId="0" borderId="0" xfId="0" applyNumberFormat="1" applyAlignment="1">
      <alignment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Fill="1" applyAlignment="1">
      <alignment vertical="center"/>
      <protection/>
    </xf>
    <xf numFmtId="3" fontId="6" fillId="0" borderId="0" xfId="58" applyNumberFormat="1" applyFont="1" applyFill="1" applyAlignment="1">
      <alignment vertical="center"/>
      <protection/>
    </xf>
    <xf numFmtId="3" fontId="3" fillId="0" borderId="0" xfId="58" applyNumberFormat="1" applyFill="1" applyAlignment="1">
      <alignment vertical="center"/>
      <protection/>
    </xf>
    <xf numFmtId="10" fontId="11" fillId="0" borderId="0" xfId="58" applyNumberFormat="1" applyFont="1" applyFill="1" applyAlignment="1">
      <alignment vertical="center"/>
      <protection/>
    </xf>
    <xf numFmtId="3" fontId="3" fillId="0" borderId="0" xfId="58" applyNumberFormat="1" applyFont="1" applyFill="1" applyAlignment="1">
      <alignment vertical="center"/>
      <protection/>
    </xf>
    <xf numFmtId="0" fontId="6" fillId="0" borderId="0" xfId="58" applyFont="1" applyFill="1" applyAlignment="1">
      <alignment vertical="center"/>
      <protection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0" fontId="26" fillId="0" borderId="77" xfId="0" applyFont="1" applyBorder="1" applyAlignment="1">
      <alignment/>
    </xf>
    <xf numFmtId="3" fontId="26" fillId="0" borderId="78" xfId="0" applyNumberFormat="1" applyFont="1" applyBorder="1" applyAlignment="1">
      <alignment/>
    </xf>
    <xf numFmtId="3" fontId="26" fillId="0" borderId="79" xfId="0" applyNumberFormat="1" applyFont="1" applyBorder="1" applyAlignment="1">
      <alignment/>
    </xf>
    <xf numFmtId="0" fontId="0" fillId="0" borderId="80" xfId="0" applyFont="1" applyBorder="1" applyAlignment="1">
      <alignment/>
    </xf>
    <xf numFmtId="3" fontId="27" fillId="0" borderId="80" xfId="56" applyNumberFormat="1" applyFont="1" applyBorder="1">
      <alignment/>
      <protection/>
    </xf>
    <xf numFmtId="3" fontId="27" fillId="0" borderId="81" xfId="56" applyNumberFormat="1" applyFont="1" applyFill="1" applyBorder="1">
      <alignment/>
      <protection/>
    </xf>
    <xf numFmtId="3" fontId="0" fillId="0" borderId="31" xfId="0" applyNumberFormat="1" applyFont="1" applyBorder="1" applyAlignment="1">
      <alignment horizontal="right"/>
    </xf>
    <xf numFmtId="3" fontId="0" fillId="0" borderId="82" xfId="0" applyNumberFormat="1" applyFont="1" applyBorder="1" applyAlignment="1">
      <alignment horizontal="right"/>
    </xf>
    <xf numFmtId="3" fontId="27" fillId="0" borderId="31" xfId="56" applyNumberFormat="1" applyFont="1" applyBorder="1" applyAlignment="1">
      <alignment horizontal="right"/>
      <protection/>
    </xf>
    <xf numFmtId="3" fontId="0" fillId="0" borderId="83" xfId="0" applyNumberFormat="1" applyFont="1" applyBorder="1" applyAlignment="1">
      <alignment horizontal="right"/>
    </xf>
    <xf numFmtId="3" fontId="0" fillId="0" borderId="84" xfId="0" applyNumberFormat="1" applyFont="1" applyBorder="1" applyAlignment="1">
      <alignment horizontal="right"/>
    </xf>
    <xf numFmtId="3" fontId="27" fillId="0" borderId="80" xfId="56" applyNumberFormat="1" applyFont="1" applyFill="1" applyBorder="1">
      <alignment/>
      <protection/>
    </xf>
    <xf numFmtId="3" fontId="0" fillId="0" borderId="31" xfId="0" applyNumberFormat="1" applyBorder="1" applyAlignment="1">
      <alignment/>
    </xf>
    <xf numFmtId="10" fontId="0" fillId="0" borderId="31" xfId="0" applyNumberFormat="1" applyBorder="1" applyAlignment="1">
      <alignment/>
    </xf>
    <xf numFmtId="3" fontId="0" fillId="0" borderId="82" xfId="0" applyNumberFormat="1" applyBorder="1" applyAlignment="1">
      <alignment/>
    </xf>
    <xf numFmtId="167" fontId="0" fillId="0" borderId="31" xfId="0" applyNumberFormat="1" applyBorder="1" applyAlignment="1">
      <alignment/>
    </xf>
    <xf numFmtId="0" fontId="0" fillId="0" borderId="81" xfId="0" applyBorder="1" applyAlignment="1">
      <alignment/>
    </xf>
    <xf numFmtId="3" fontId="0" fillId="0" borderId="83" xfId="0" applyNumberFormat="1" applyBorder="1" applyAlignment="1">
      <alignment/>
    </xf>
    <xf numFmtId="167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8" fillId="0" borderId="77" xfId="56" applyNumberFormat="1" applyFont="1" applyFill="1" applyBorder="1">
      <alignment/>
      <protection/>
    </xf>
    <xf numFmtId="0" fontId="14" fillId="0" borderId="0" xfId="56" applyNumberFormat="1" applyFont="1">
      <alignment/>
      <protection/>
    </xf>
    <xf numFmtId="3" fontId="6" fillId="0" borderId="0" xfId="56" applyNumberFormat="1" applyFont="1" applyFill="1" applyBorder="1">
      <alignment/>
      <protection/>
    </xf>
    <xf numFmtId="3" fontId="29" fillId="0" borderId="0" xfId="56" applyNumberFormat="1" applyFont="1">
      <alignment/>
      <protection/>
    </xf>
    <xf numFmtId="3" fontId="6" fillId="0" borderId="10" xfId="56" applyNumberFormat="1" applyFont="1" applyFill="1" applyBorder="1">
      <alignment/>
      <protection/>
    </xf>
    <xf numFmtId="10" fontId="10" fillId="0" borderId="0" xfId="56" applyNumberFormat="1" applyFont="1" applyFill="1">
      <alignment/>
      <protection/>
    </xf>
    <xf numFmtId="3" fontId="6" fillId="0" borderId="0" xfId="56" applyNumberFormat="1" applyFont="1" applyAlignment="1">
      <alignment horizontal="left" indent="1"/>
      <protection/>
    </xf>
    <xf numFmtId="3" fontId="3" fillId="39" borderId="0" xfId="56" applyNumberFormat="1" applyFont="1" applyFill="1">
      <alignment/>
      <protection/>
    </xf>
    <xf numFmtId="0" fontId="19" fillId="0" borderId="15" xfId="0" applyFont="1" applyBorder="1" applyAlignment="1">
      <alignment vertical="center"/>
    </xf>
    <xf numFmtId="0" fontId="19" fillId="37" borderId="0" xfId="0" applyFont="1" applyFill="1" applyBorder="1" applyAlignment="1">
      <alignment vertical="center"/>
    </xf>
    <xf numFmtId="3" fontId="19" fillId="34" borderId="0" xfId="0" applyNumberFormat="1" applyFont="1" applyFill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3" fontId="3" fillId="35" borderId="0" xfId="56" applyNumberFormat="1" applyFont="1" applyFill="1" applyAlignment="1">
      <alignment horizontal="left" indent="1"/>
      <protection/>
    </xf>
    <xf numFmtId="10" fontId="3" fillId="35" borderId="0" xfId="56" applyNumberFormat="1" applyFont="1" applyFill="1">
      <alignment/>
      <protection/>
    </xf>
    <xf numFmtId="3" fontId="3" fillId="35" borderId="0" xfId="56" applyNumberFormat="1" applyFont="1" applyFill="1">
      <alignment/>
      <protection/>
    </xf>
    <xf numFmtId="3" fontId="6" fillId="35" borderId="0" xfId="56" applyNumberFormat="1" applyFont="1" applyFill="1">
      <alignment/>
      <protection/>
    </xf>
    <xf numFmtId="0" fontId="6" fillId="35" borderId="0" xfId="56" applyNumberFormat="1" applyFont="1" applyFill="1">
      <alignment/>
      <protection/>
    </xf>
    <xf numFmtId="3" fontId="27" fillId="0" borderId="71" xfId="56" applyNumberFormat="1" applyFont="1" applyBorder="1" applyAlignment="1">
      <alignment horizontal="right"/>
      <protection/>
    </xf>
    <xf numFmtId="3" fontId="0" fillId="0" borderId="85" xfId="0" applyNumberFormat="1" applyFont="1" applyBorder="1" applyAlignment="1">
      <alignment horizontal="right"/>
    </xf>
    <xf numFmtId="3" fontId="3" fillId="0" borderId="0" xfId="56" applyNumberFormat="1" applyFont="1" applyFill="1" applyAlignment="1">
      <alignment horizontal="left" indent="1"/>
      <protection/>
    </xf>
    <xf numFmtId="10" fontId="3" fillId="0" borderId="0" xfId="56" applyNumberFormat="1" applyFont="1" applyFill="1">
      <alignment/>
      <protection/>
    </xf>
    <xf numFmtId="3" fontId="3" fillId="40" borderId="0" xfId="56" applyNumberFormat="1" applyFont="1" applyFill="1" applyAlignment="1">
      <alignment horizontal="left" indent="1"/>
      <protection/>
    </xf>
    <xf numFmtId="10" fontId="3" fillId="40" borderId="0" xfId="56" applyNumberFormat="1" applyFont="1" applyFill="1">
      <alignment/>
      <protection/>
    </xf>
    <xf numFmtId="3" fontId="3" fillId="40" borderId="0" xfId="56" applyNumberFormat="1" applyFont="1" applyFill="1">
      <alignment/>
      <protection/>
    </xf>
    <xf numFmtId="3" fontId="14" fillId="0" borderId="0" xfId="56" applyNumberFormat="1" applyFont="1" applyBorder="1">
      <alignment/>
      <protection/>
    </xf>
    <xf numFmtId="4" fontId="0" fillId="0" borderId="0" xfId="0" applyNumberFormat="1" applyAlignment="1">
      <alignment/>
    </xf>
    <xf numFmtId="3" fontId="30" fillId="35" borderId="0" xfId="56" applyNumberFormat="1" applyFont="1" applyFill="1" applyBorder="1">
      <alignment/>
      <protection/>
    </xf>
    <xf numFmtId="3" fontId="31" fillId="0" borderId="0" xfId="56" applyNumberFormat="1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30" fillId="0" borderId="0" xfId="56" applyNumberFormat="1" applyFont="1" applyBorder="1">
      <alignment/>
      <protection/>
    </xf>
    <xf numFmtId="10" fontId="3" fillId="39" borderId="0" xfId="56" applyNumberFormat="1" applyFont="1" applyFill="1">
      <alignment/>
      <protection/>
    </xf>
    <xf numFmtId="3" fontId="32" fillId="0" borderId="0" xfId="0" applyNumberFormat="1" applyFont="1" applyAlignment="1">
      <alignment vertical="center"/>
    </xf>
    <xf numFmtId="0" fontId="32" fillId="0" borderId="0" xfId="0" applyFont="1" applyAlignment="1">
      <alignment/>
    </xf>
    <xf numFmtId="3" fontId="16" fillId="0" borderId="0" xfId="56" applyNumberFormat="1" applyFont="1" applyFill="1">
      <alignment/>
      <protection/>
    </xf>
    <xf numFmtId="3" fontId="3" fillId="41" borderId="0" xfId="56" applyNumberFormat="1" applyFont="1" applyFill="1" applyAlignment="1">
      <alignment horizontal="left" indent="1"/>
      <protection/>
    </xf>
    <xf numFmtId="10" fontId="3" fillId="41" borderId="0" xfId="56" applyNumberFormat="1" applyFont="1" applyFill="1">
      <alignment/>
      <protection/>
    </xf>
    <xf numFmtId="3" fontId="3" fillId="41" borderId="0" xfId="56" applyNumberFormat="1" applyFont="1" applyFill="1">
      <alignment/>
      <protection/>
    </xf>
    <xf numFmtId="3" fontId="19" fillId="0" borderId="25" xfId="0" applyNumberFormat="1" applyFont="1" applyFill="1" applyBorder="1" applyAlignment="1">
      <alignment vertical="center"/>
    </xf>
    <xf numFmtId="0" fontId="0" fillId="0" borderId="77" xfId="0" applyBorder="1" applyAlignment="1">
      <alignment/>
    </xf>
    <xf numFmtId="3" fontId="0" fillId="0" borderId="78" xfId="0" applyNumberFormat="1" applyBorder="1" applyAlignment="1">
      <alignment/>
    </xf>
    <xf numFmtId="3" fontId="0" fillId="0" borderId="79" xfId="0" applyNumberFormat="1" applyBorder="1" applyAlignment="1">
      <alignment/>
    </xf>
    <xf numFmtId="0" fontId="0" fillId="0" borderId="80" xfId="0" applyBorder="1" applyAlignment="1">
      <alignment/>
    </xf>
    <xf numFmtId="3" fontId="25" fillId="0" borderId="80" xfId="0" applyNumberFormat="1" applyFont="1" applyBorder="1" applyAlignment="1">
      <alignment vertical="center" wrapText="1"/>
    </xf>
    <xf numFmtId="0" fontId="69" fillId="0" borderId="81" xfId="0" applyFont="1" applyBorder="1" applyAlignment="1">
      <alignment/>
    </xf>
    <xf numFmtId="3" fontId="69" fillId="0" borderId="83" xfId="0" applyNumberFormat="1" applyFont="1" applyBorder="1" applyAlignment="1">
      <alignment/>
    </xf>
    <xf numFmtId="3" fontId="69" fillId="0" borderId="8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9" fillId="42" borderId="32" xfId="0" applyNumberFormat="1" applyFont="1" applyFill="1" applyBorder="1" applyAlignment="1">
      <alignment vertical="center"/>
    </xf>
    <xf numFmtId="3" fontId="19" fillId="42" borderId="57" xfId="0" applyNumberFormat="1" applyFont="1" applyFill="1" applyBorder="1" applyAlignment="1">
      <alignment vertical="center"/>
    </xf>
    <xf numFmtId="3" fontId="19" fillId="0" borderId="31" xfId="0" applyNumberFormat="1" applyFont="1" applyFill="1" applyBorder="1" applyAlignment="1">
      <alignment vertical="center"/>
    </xf>
    <xf numFmtId="3" fontId="19" fillId="0" borderId="61" xfId="0" applyNumberFormat="1" applyFont="1" applyFill="1" applyBorder="1" applyAlignment="1">
      <alignment vertical="center"/>
    </xf>
    <xf numFmtId="3" fontId="19" fillId="0" borderId="86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10" fontId="23" fillId="38" borderId="76" xfId="58" applyNumberFormat="1" applyFont="1" applyFill="1" applyBorder="1" applyAlignment="1">
      <alignment horizontal="right" vertical="center"/>
      <protection/>
    </xf>
    <xf numFmtId="0" fontId="6" fillId="0" borderId="15" xfId="58" applyFont="1" applyFill="1" applyBorder="1" applyAlignment="1">
      <alignment vertical="center"/>
      <protection/>
    </xf>
    <xf numFmtId="3" fontId="6" fillId="0" borderId="13" xfId="58" applyNumberFormat="1" applyFont="1" applyBorder="1" applyAlignment="1">
      <alignment vertical="center"/>
      <protection/>
    </xf>
    <xf numFmtId="166" fontId="36" fillId="0" borderId="75" xfId="58" applyNumberFormat="1" applyFont="1" applyBorder="1" applyAlignment="1">
      <alignment horizontal="right" vertical="center"/>
      <protection/>
    </xf>
    <xf numFmtId="0" fontId="6" fillId="0" borderId="14" xfId="58" applyFont="1" applyBorder="1" applyAlignment="1">
      <alignment vertical="center"/>
      <protection/>
    </xf>
    <xf numFmtId="0" fontId="73" fillId="0" borderId="77" xfId="0" applyFont="1" applyBorder="1" applyAlignment="1">
      <alignment horizontal="center" vertical="center"/>
    </xf>
    <xf numFmtId="0" fontId="74" fillId="0" borderId="79" xfId="0" applyFont="1" applyBorder="1" applyAlignment="1">
      <alignment horizontal="center" vertical="center"/>
    </xf>
    <xf numFmtId="0" fontId="73" fillId="0" borderId="80" xfId="0" applyFont="1" applyBorder="1" applyAlignment="1">
      <alignment horizontal="center" vertical="center"/>
    </xf>
    <xf numFmtId="3" fontId="73" fillId="0" borderId="82" xfId="0" applyNumberFormat="1" applyFont="1" applyBorder="1" applyAlignment="1">
      <alignment vertical="center"/>
    </xf>
    <xf numFmtId="3" fontId="37" fillId="0" borderId="82" xfId="54" applyNumberFormat="1" applyFont="1" applyBorder="1" applyAlignment="1">
      <alignment horizontal="right" vertical="center"/>
      <protection/>
    </xf>
    <xf numFmtId="3" fontId="37" fillId="0" borderId="82" xfId="57" applyNumberFormat="1" applyFont="1" applyBorder="1" applyAlignment="1">
      <alignment horizontal="right"/>
      <protection/>
    </xf>
    <xf numFmtId="3" fontId="37" fillId="0" borderId="82" xfId="55" applyNumberFormat="1" applyFont="1" applyBorder="1" applyAlignment="1">
      <alignment vertical="center"/>
      <protection/>
    </xf>
    <xf numFmtId="0" fontId="74" fillId="0" borderId="80" xfId="0" applyFont="1" applyBorder="1" applyAlignment="1">
      <alignment horizontal="center" vertical="center"/>
    </xf>
    <xf numFmtId="3" fontId="73" fillId="0" borderId="82" xfId="0" applyNumberFormat="1" applyFont="1" applyBorder="1" applyAlignment="1">
      <alignment horizontal="right"/>
    </xf>
    <xf numFmtId="0" fontId="73" fillId="0" borderId="80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/>
    </xf>
    <xf numFmtId="3" fontId="74" fillId="0" borderId="84" xfId="0" applyNumberFormat="1" applyFont="1" applyBorder="1" applyAlignment="1">
      <alignment horizontal="right"/>
    </xf>
    <xf numFmtId="0" fontId="3" fillId="0" borderId="27" xfId="58" applyBorder="1" applyAlignment="1">
      <alignment vertical="center"/>
      <protection/>
    </xf>
    <xf numFmtId="3" fontId="3" fillId="0" borderId="18" xfId="58" applyNumberFormat="1" applyBorder="1" applyAlignment="1">
      <alignment vertical="center"/>
      <protection/>
    </xf>
    <xf numFmtId="3" fontId="11" fillId="0" borderId="15" xfId="58" applyNumberFormat="1" applyFont="1" applyFill="1" applyBorder="1" applyAlignment="1">
      <alignment vertical="center"/>
      <protection/>
    </xf>
    <xf numFmtId="9" fontId="3" fillId="0" borderId="0" xfId="56" applyNumberFormat="1" applyFont="1" applyFill="1">
      <alignment/>
      <protection/>
    </xf>
    <xf numFmtId="3" fontId="75" fillId="0" borderId="0" xfId="56" applyNumberFormat="1" applyFont="1" applyBorder="1">
      <alignment/>
      <protection/>
    </xf>
    <xf numFmtId="3" fontId="75" fillId="0" borderId="0" xfId="56" applyNumberFormat="1" applyFont="1" applyFill="1">
      <alignment/>
      <protection/>
    </xf>
    <xf numFmtId="3" fontId="75" fillId="0" borderId="0" xfId="56" applyNumberFormat="1" applyFont="1" applyFill="1" applyAlignment="1">
      <alignment horizontal="left" indent="1"/>
      <protection/>
    </xf>
    <xf numFmtId="9" fontId="0" fillId="0" borderId="0" xfId="0" applyNumberFormat="1" applyAlignment="1">
      <alignment/>
    </xf>
    <xf numFmtId="3" fontId="76" fillId="0" borderId="0" xfId="56" applyNumberFormat="1" applyFont="1" applyFill="1">
      <alignment/>
      <protection/>
    </xf>
    <xf numFmtId="3" fontId="17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1" fontId="22" fillId="0" borderId="18" xfId="0" applyNumberFormat="1" applyFont="1" applyBorder="1" applyAlignment="1">
      <alignment horizontal="center" vertical="center" wrapText="1"/>
    </xf>
    <xf numFmtId="0" fontId="19" fillId="0" borderId="80" xfId="0" applyFont="1" applyBorder="1" applyAlignment="1">
      <alignment vertical="center" wrapText="1"/>
    </xf>
    <xf numFmtId="3" fontId="19" fillId="0" borderId="82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3" fontId="22" fillId="0" borderId="82" xfId="0" applyNumberFormat="1" applyFont="1" applyBorder="1" applyAlignment="1">
      <alignment vertical="center"/>
    </xf>
    <xf numFmtId="0" fontId="19" fillId="0" borderId="81" xfId="0" applyFont="1" applyBorder="1" applyAlignment="1">
      <alignment vertical="center"/>
    </xf>
    <xf numFmtId="3" fontId="19" fillId="0" borderId="84" xfId="0" applyNumberFormat="1" applyFont="1" applyBorder="1" applyAlignment="1">
      <alignment vertical="center"/>
    </xf>
    <xf numFmtId="3" fontId="3" fillId="0" borderId="0" xfId="56" applyNumberFormat="1" applyFont="1" applyAlignment="1">
      <alignment/>
      <protection/>
    </xf>
    <xf numFmtId="3" fontId="3" fillId="40" borderId="0" xfId="56" applyNumberFormat="1" applyFont="1" applyFill="1" applyAlignment="1">
      <alignment/>
      <protection/>
    </xf>
    <xf numFmtId="3" fontId="6" fillId="35" borderId="13" xfId="56" applyNumberFormat="1" applyFont="1" applyFill="1" applyBorder="1" applyAlignment="1">
      <alignment horizontal="left"/>
      <protection/>
    </xf>
    <xf numFmtId="3" fontId="6" fillId="35" borderId="22" xfId="56" applyNumberFormat="1" applyFont="1" applyFill="1" applyBorder="1" applyAlignment="1">
      <alignment horizontal="left"/>
      <protection/>
    </xf>
    <xf numFmtId="3" fontId="6" fillId="33" borderId="13" xfId="56" applyNumberFormat="1" applyFont="1" applyFill="1" applyBorder="1" applyAlignment="1">
      <alignment horizontal="left"/>
      <protection/>
    </xf>
    <xf numFmtId="3" fontId="6" fillId="33" borderId="22" xfId="56" applyNumberFormat="1" applyFont="1" applyFill="1" applyBorder="1" applyAlignment="1">
      <alignment horizontal="left"/>
      <protection/>
    </xf>
    <xf numFmtId="0" fontId="32" fillId="0" borderId="0" xfId="0" applyFont="1" applyAlignment="1">
      <alignment wrapText="1"/>
    </xf>
    <xf numFmtId="2" fontId="33" fillId="0" borderId="0" xfId="0" applyNumberFormat="1" applyFont="1" applyAlignment="1">
      <alignment wrapText="1"/>
    </xf>
    <xf numFmtId="2" fontId="77" fillId="0" borderId="0" xfId="0" applyNumberFormat="1" applyFont="1" applyAlignment="1">
      <alignment horizontal="left" wrapText="1"/>
    </xf>
    <xf numFmtId="3" fontId="3" fillId="0" borderId="0" xfId="56" applyNumberFormat="1" applyFont="1" applyAlignment="1">
      <alignment horizontal="center"/>
      <protection/>
    </xf>
    <xf numFmtId="3" fontId="3" fillId="40" borderId="0" xfId="56" applyNumberFormat="1" applyFont="1" applyFill="1" applyAlignment="1">
      <alignment horizontal="center"/>
      <protection/>
    </xf>
    <xf numFmtId="0" fontId="19" fillId="42" borderId="77" xfId="0" applyFont="1" applyFill="1" applyBorder="1" applyAlignment="1">
      <alignment horizontal="center" vertical="center"/>
    </xf>
    <xf numFmtId="0" fontId="19" fillId="42" borderId="79" xfId="0" applyFont="1" applyFill="1" applyBorder="1" applyAlignment="1">
      <alignment horizontal="center" vertical="center"/>
    </xf>
    <xf numFmtId="0" fontId="19" fillId="0" borderId="87" xfId="0" applyFont="1" applyBorder="1" applyAlignment="1">
      <alignment horizontal="left" vertical="center"/>
    </xf>
    <xf numFmtId="0" fontId="19" fillId="0" borderId="88" xfId="0" applyFont="1" applyBorder="1" applyAlignment="1">
      <alignment horizontal="left" vertical="center"/>
    </xf>
    <xf numFmtId="0" fontId="19" fillId="0" borderId="89" xfId="0" applyFont="1" applyBorder="1" applyAlignment="1">
      <alignment horizontal="left" vertical="center"/>
    </xf>
    <xf numFmtId="0" fontId="19" fillId="0" borderId="90" xfId="0" applyFont="1" applyBorder="1" applyAlignment="1">
      <alignment horizontal="left" vertical="center"/>
    </xf>
    <xf numFmtId="0" fontId="19" fillId="0" borderId="91" xfId="0" applyFont="1" applyBorder="1" applyAlignment="1">
      <alignment horizontal="left" vertical="center"/>
    </xf>
    <xf numFmtId="0" fontId="19" fillId="0" borderId="92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44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3" fillId="0" borderId="15" xfId="58" applyFont="1" applyFill="1" applyBorder="1" applyAlignment="1">
      <alignment horizontal="center" vertical="center"/>
      <protection/>
    </xf>
    <xf numFmtId="0" fontId="3" fillId="0" borderId="0" xfId="58" applyFill="1" applyAlignment="1">
      <alignment horizontal="center" vertical="center"/>
      <protection/>
    </xf>
    <xf numFmtId="0" fontId="3" fillId="0" borderId="0" xfId="58" applyAlignment="1">
      <alignment horizontal="center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2" xfId="54"/>
    <cellStyle name="Normál 17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l&#225;ri\Timi\sz&#225;mla%20dokument&#225;ci&#243;\analitika\Analitika%20201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ltségvetés"/>
      <sheetName val="Kiadások"/>
      <sheetName val="Bevétel"/>
    </sheetNames>
    <sheetDataSet>
      <sheetData sheetId="1">
        <row r="5">
          <cell r="C5" t="str">
            <v>Alapilletmények</v>
          </cell>
          <cell r="D5">
            <v>784700</v>
          </cell>
        </row>
        <row r="6">
          <cell r="C6" t="str">
            <v>Nyelvpótlék</v>
          </cell>
          <cell r="D6">
            <v>10000</v>
          </cell>
        </row>
        <row r="7">
          <cell r="C7" t="str">
            <v>vezetői illetménypótlék</v>
          </cell>
          <cell r="D7">
            <v>50000</v>
          </cell>
        </row>
        <row r="8">
          <cell r="C8" t="str">
            <v>Keresetkiegészítések</v>
          </cell>
          <cell r="D8">
            <v>10792</v>
          </cell>
        </row>
        <row r="9">
          <cell r="C9" t="str">
            <v>Társadalombiztosítási járulék</v>
          </cell>
          <cell r="D9">
            <v>198828</v>
          </cell>
        </row>
        <row r="10">
          <cell r="C10" t="str">
            <v>Munkaadói járulék</v>
          </cell>
          <cell r="D10">
            <v>15736</v>
          </cell>
        </row>
        <row r="11">
          <cell r="C11" t="str">
            <v>Egészségügyi hozzájárulás</v>
          </cell>
          <cell r="D11">
            <v>3900</v>
          </cell>
        </row>
        <row r="12">
          <cell r="C12" t="str">
            <v>Startkártya járulékai</v>
          </cell>
          <cell r="D12">
            <v>14029</v>
          </cell>
        </row>
        <row r="13">
          <cell r="C13" t="str">
            <v>Könyvvizsgálati díj</v>
          </cell>
          <cell r="D13">
            <v>170000</v>
          </cell>
        </row>
        <row r="14">
          <cell r="C14" t="str">
            <v>Társadalombiztosítási járulék</v>
          </cell>
          <cell r="D14">
            <v>203400</v>
          </cell>
        </row>
        <row r="15">
          <cell r="C15" t="str">
            <v>Munkaadói járulék</v>
          </cell>
          <cell r="D15">
            <v>43000</v>
          </cell>
        </row>
        <row r="16">
          <cell r="C16" t="str">
            <v>Közlekedési költségtérítés</v>
          </cell>
          <cell r="D16">
            <v>4788</v>
          </cell>
        </row>
        <row r="17">
          <cell r="C17" t="str">
            <v>Reprezentáció</v>
          </cell>
          <cell r="D17">
            <v>1600</v>
          </cell>
        </row>
        <row r="18">
          <cell r="C18" t="str">
            <v>Műszaki és Pénzügyi tanácsadás</v>
          </cell>
          <cell r="D18">
            <v>112500</v>
          </cell>
        </row>
        <row r="19">
          <cell r="C19" t="str">
            <v>Bérleti és lízingdíjak</v>
          </cell>
          <cell r="D19">
            <v>32000</v>
          </cell>
        </row>
        <row r="20">
          <cell r="C20" t="str">
            <v>Reprezentáció</v>
          </cell>
          <cell r="D20">
            <v>34144</v>
          </cell>
        </row>
        <row r="21">
          <cell r="C21" t="str">
            <v>Felügyelő mérnök költsége</v>
          </cell>
          <cell r="D21">
            <v>229707</v>
          </cell>
        </row>
        <row r="22">
          <cell r="C22" t="str">
            <v>Pénzforgalmi jutalék</v>
          </cell>
          <cell r="D22">
            <v>3301</v>
          </cell>
        </row>
        <row r="23">
          <cell r="C23" t="str">
            <v>PR tevékenység</v>
          </cell>
          <cell r="D23">
            <v>350590</v>
          </cell>
        </row>
        <row r="24">
          <cell r="C24" t="str">
            <v>Pénzforgalmi jutalék</v>
          </cell>
          <cell r="D24">
            <v>3301</v>
          </cell>
        </row>
        <row r="25">
          <cell r="C25" t="str">
            <v>LOT2 - egyéb létesítmények</v>
          </cell>
          <cell r="D25">
            <v>12040849</v>
          </cell>
        </row>
        <row r="26">
          <cell r="C26" t="str">
            <v>Pénzforgalmi jutalék</v>
          </cell>
          <cell r="D26">
            <v>14450</v>
          </cell>
        </row>
        <row r="27">
          <cell r="C27" t="str">
            <v>Közlekedési költségtérítés</v>
          </cell>
          <cell r="D27">
            <v>4790</v>
          </cell>
        </row>
        <row r="28">
          <cell r="C28" t="str">
            <v>Belföldi kiküldetés</v>
          </cell>
          <cell r="D28">
            <v>9017</v>
          </cell>
        </row>
        <row r="29">
          <cell r="C29" t="str">
            <v>Reprezentáció</v>
          </cell>
          <cell r="D29">
            <v>35000</v>
          </cell>
        </row>
        <row r="30">
          <cell r="C30" t="str">
            <v>Kisértékű tárgyi eszköz, szellemi termékek beszerzése</v>
          </cell>
          <cell r="D30">
            <v>49900</v>
          </cell>
        </row>
        <row r="31">
          <cell r="C31" t="str">
            <v>közbeszerzés - közzététel, értékelés</v>
          </cell>
          <cell r="D31">
            <v>24000</v>
          </cell>
        </row>
        <row r="32">
          <cell r="C32" t="str">
            <v>közbeszerzés - közzététel, értékelés</v>
          </cell>
          <cell r="D32">
            <v>24000</v>
          </cell>
        </row>
        <row r="33">
          <cell r="C33" t="str">
            <v>közbeszerzés - közzététel, értékelés</v>
          </cell>
          <cell r="D33">
            <v>24000</v>
          </cell>
        </row>
        <row r="34">
          <cell r="C34" t="str">
            <v>Egyéb dologi kiadások</v>
          </cell>
          <cell r="D34">
            <v>150000</v>
          </cell>
        </row>
        <row r="35">
          <cell r="C35" t="str">
            <v>Könyvvizsgálati díj</v>
          </cell>
          <cell r="D35">
            <v>170000</v>
          </cell>
        </row>
        <row r="36">
          <cell r="C36" t="str">
            <v>közbeszerzés - közzététel, értékelés</v>
          </cell>
          <cell r="D36">
            <v>24000</v>
          </cell>
        </row>
        <row r="37">
          <cell r="C37" t="str">
            <v>közbeszerzés - közzététel, értékelés</v>
          </cell>
          <cell r="D37">
            <v>24000</v>
          </cell>
        </row>
        <row r="38">
          <cell r="C38" t="str">
            <v>közbeszerzés - közzététel, értékelés</v>
          </cell>
          <cell r="D38">
            <v>24000</v>
          </cell>
        </row>
        <row r="39">
          <cell r="C39" t="str">
            <v>Reklám és propagandakiadások</v>
          </cell>
          <cell r="D39">
            <v>280000</v>
          </cell>
        </row>
        <row r="40">
          <cell r="C40" t="str">
            <v>Reprezentáció</v>
          </cell>
          <cell r="D40">
            <v>27944</v>
          </cell>
        </row>
        <row r="41">
          <cell r="C41" t="str">
            <v>Reprezentáció</v>
          </cell>
          <cell r="D41">
            <v>17328</v>
          </cell>
        </row>
        <row r="42">
          <cell r="C42" t="str">
            <v>Közlekedési költségtérítés</v>
          </cell>
          <cell r="D42">
            <v>5510</v>
          </cell>
        </row>
        <row r="43">
          <cell r="C43" t="str">
            <v>Közlekedési költségtérítés</v>
          </cell>
          <cell r="D43">
            <v>6498</v>
          </cell>
        </row>
        <row r="44">
          <cell r="C44" t="str">
            <v>Belföldi kiküldetés</v>
          </cell>
          <cell r="D44">
            <v>4471</v>
          </cell>
        </row>
        <row r="45">
          <cell r="C45" t="str">
            <v>Reprezentáció</v>
          </cell>
          <cell r="D45">
            <v>28880</v>
          </cell>
        </row>
        <row r="46">
          <cell r="C46" t="str">
            <v>Reprezentáció</v>
          </cell>
          <cell r="D46">
            <v>1344</v>
          </cell>
        </row>
        <row r="47">
          <cell r="C47" t="str">
            <v>Kommunikációs szolgáltatás</v>
          </cell>
          <cell r="D47">
            <v>84960</v>
          </cell>
        </row>
        <row r="48">
          <cell r="C48" t="str">
            <v>Reprezentáció</v>
          </cell>
          <cell r="D48">
            <v>12000</v>
          </cell>
        </row>
        <row r="49">
          <cell r="C49" t="str">
            <v>Belföldi kiküldetés</v>
          </cell>
          <cell r="D49">
            <v>4960</v>
          </cell>
        </row>
        <row r="50">
          <cell r="C50" t="str">
            <v>Belföldi kiküldetés</v>
          </cell>
          <cell r="D50">
            <v>4960</v>
          </cell>
        </row>
        <row r="51">
          <cell r="C51" t="str">
            <v>Folyóirat</v>
          </cell>
          <cell r="D51">
            <v>19488</v>
          </cell>
        </row>
        <row r="52">
          <cell r="C52" t="str">
            <v>Alapilletmények</v>
          </cell>
          <cell r="D52">
            <v>793100</v>
          </cell>
        </row>
        <row r="53">
          <cell r="C53" t="str">
            <v>Nyelvpótlék</v>
          </cell>
          <cell r="D53">
            <v>10000</v>
          </cell>
        </row>
        <row r="54">
          <cell r="C54" t="str">
            <v>vezetői illetménypótlék</v>
          </cell>
          <cell r="D54">
            <v>50000</v>
          </cell>
        </row>
        <row r="55">
          <cell r="C55" t="str">
            <v>Keresetkiegészítések</v>
          </cell>
          <cell r="D55">
            <v>98000</v>
          </cell>
        </row>
        <row r="56">
          <cell r="C56" t="str">
            <v>Társadalombiztosítási járulék</v>
          </cell>
          <cell r="D56">
            <v>201025</v>
          </cell>
        </row>
        <row r="57">
          <cell r="C57" t="str">
            <v>Munkaerőpiaci járulék</v>
          </cell>
          <cell r="D57">
            <v>16083</v>
          </cell>
        </row>
        <row r="58">
          <cell r="C58" t="str">
            <v>Startkártya járulékai</v>
          </cell>
          <cell r="D58">
            <v>14700</v>
          </cell>
        </row>
        <row r="59">
          <cell r="C59" t="str">
            <v>Munkáltató által fizetett személyi jövedelemadó</v>
          </cell>
          <cell r="D59">
            <v>1198</v>
          </cell>
        </row>
        <row r="60">
          <cell r="C60" t="str">
            <v>Postai díjak</v>
          </cell>
          <cell r="D60">
            <v>1160</v>
          </cell>
        </row>
        <row r="61">
          <cell r="C61" t="str">
            <v>Könyvvizsgálati díj</v>
          </cell>
          <cell r="D61">
            <v>170000</v>
          </cell>
        </row>
        <row r="62">
          <cell r="C62" t="str">
            <v>LOT1 - Királyszentistván</v>
          </cell>
          <cell r="D62">
            <v>86796325</v>
          </cell>
        </row>
        <row r="63">
          <cell r="C63" t="str">
            <v>Pénzforgalmi jutalék</v>
          </cell>
          <cell r="D63">
            <v>80001</v>
          </cell>
        </row>
        <row r="64">
          <cell r="C64" t="str">
            <v>Reprezentáció</v>
          </cell>
          <cell r="D64">
            <v>5600</v>
          </cell>
        </row>
        <row r="65">
          <cell r="C65" t="str">
            <v>Vásárolt termékek és szolgáltatások általános forgalmi adója</v>
          </cell>
          <cell r="D65">
            <v>0</v>
          </cell>
        </row>
        <row r="66">
          <cell r="C66" t="str">
            <v>Közlekedési költségtérítés</v>
          </cell>
          <cell r="D66">
            <v>5510</v>
          </cell>
        </row>
        <row r="67">
          <cell r="C67" t="str">
            <v>Közlekedési költségtérítés</v>
          </cell>
          <cell r="D67">
            <v>6840</v>
          </cell>
        </row>
        <row r="68">
          <cell r="C68" t="str">
            <v>Reprezentáció</v>
          </cell>
          <cell r="D68">
            <v>26752</v>
          </cell>
        </row>
        <row r="69">
          <cell r="C69" t="str">
            <v>KEOP-El nem számolható költség</v>
          </cell>
          <cell r="D69">
            <v>6250</v>
          </cell>
        </row>
        <row r="70">
          <cell r="C70" t="str">
            <v>Reprezentáció</v>
          </cell>
          <cell r="D70">
            <v>37192</v>
          </cell>
        </row>
        <row r="71">
          <cell r="C71" t="str">
            <v>Jogi szolgáltatás</v>
          </cell>
          <cell r="D71">
            <v>133920</v>
          </cell>
        </row>
        <row r="72">
          <cell r="C72" t="str">
            <v>Karbantartási, kisjavítási szolgáltatások kiadásai</v>
          </cell>
          <cell r="D72">
            <v>5000</v>
          </cell>
        </row>
        <row r="73">
          <cell r="C73" t="str">
            <v>PR tevékenység</v>
          </cell>
          <cell r="D73">
            <v>341442</v>
          </cell>
        </row>
        <row r="74">
          <cell r="C74" t="str">
            <v>Pénzforgalmi jutalék</v>
          </cell>
          <cell r="D74">
            <v>3300</v>
          </cell>
        </row>
        <row r="75">
          <cell r="C75" t="str">
            <v>Reprezentáció</v>
          </cell>
          <cell r="D75">
            <v>20800</v>
          </cell>
        </row>
        <row r="76">
          <cell r="C76" t="str">
            <v>Pénzforgalmi jutalék</v>
          </cell>
          <cell r="D76">
            <v>1150</v>
          </cell>
        </row>
        <row r="77">
          <cell r="C77" t="str">
            <v>Könyvvizsgálati díj</v>
          </cell>
          <cell r="D77">
            <v>170000</v>
          </cell>
        </row>
        <row r="78">
          <cell r="C78" t="str">
            <v>Postai díjak</v>
          </cell>
          <cell r="D78">
            <v>295</v>
          </cell>
        </row>
        <row r="79">
          <cell r="C79" t="str">
            <v>Reprezentáció</v>
          </cell>
          <cell r="D79">
            <v>33408</v>
          </cell>
        </row>
        <row r="80">
          <cell r="C80" t="str">
            <v>LOT2 - egyéb létesítmények</v>
          </cell>
          <cell r="D80">
            <v>22445389</v>
          </cell>
        </row>
        <row r="81">
          <cell r="C81" t="str">
            <v>Pénzforgalmi jutalék</v>
          </cell>
          <cell r="D81">
            <v>26934</v>
          </cell>
        </row>
        <row r="82">
          <cell r="C82" t="str">
            <v>Alapilletmények</v>
          </cell>
          <cell r="D82">
            <v>793100</v>
          </cell>
        </row>
        <row r="83">
          <cell r="C83" t="str">
            <v>Nyelvpótlék</v>
          </cell>
          <cell r="D83">
            <v>10000</v>
          </cell>
        </row>
        <row r="84">
          <cell r="C84" t="str">
            <v>vezetői illetménypótlék</v>
          </cell>
          <cell r="D84">
            <v>50000</v>
          </cell>
        </row>
        <row r="85">
          <cell r="C85" t="str">
            <v>Társadalombiztosítási járulék</v>
          </cell>
          <cell r="D85">
            <v>180900</v>
          </cell>
        </row>
        <row r="86">
          <cell r="C86" t="str">
            <v>Munkaerőpiaci járulék</v>
          </cell>
          <cell r="D86">
            <v>14473</v>
          </cell>
        </row>
        <row r="87">
          <cell r="C87" t="str">
            <v>Startkártya járulékai</v>
          </cell>
          <cell r="D87">
            <v>12950</v>
          </cell>
        </row>
        <row r="88">
          <cell r="C88" t="str">
            <v>Munkáltató által fizetett személyi jövedelemadó</v>
          </cell>
          <cell r="D88">
            <v>1378</v>
          </cell>
        </row>
        <row r="89">
          <cell r="C89" t="str">
            <v>Közlekedési költségtérítés</v>
          </cell>
          <cell r="D89">
            <v>5510</v>
          </cell>
        </row>
        <row r="90">
          <cell r="C90" t="str">
            <v>Szállítási szolgáltatás díja</v>
          </cell>
          <cell r="D90">
            <v>18000</v>
          </cell>
        </row>
        <row r="91">
          <cell r="C91" t="str">
            <v>Reprezentáció</v>
          </cell>
          <cell r="D91">
            <v>23200</v>
          </cell>
        </row>
        <row r="92">
          <cell r="C92" t="str">
            <v>Belföldi kiküldetés</v>
          </cell>
          <cell r="D92">
            <v>4960</v>
          </cell>
        </row>
        <row r="93">
          <cell r="C93" t="str">
            <v>Közlekedési költségtérítés</v>
          </cell>
          <cell r="D93">
            <v>6156</v>
          </cell>
        </row>
        <row r="94">
          <cell r="C94" t="str">
            <v>Karbantartási, kisjavítási szolgáltatások kiadásai</v>
          </cell>
          <cell r="D94">
            <v>9250</v>
          </cell>
        </row>
        <row r="95">
          <cell r="C95" t="str">
            <v>Reprezentáció</v>
          </cell>
          <cell r="D95">
            <v>14400</v>
          </cell>
        </row>
        <row r="96">
          <cell r="C96" t="str">
            <v>Kisértékű tárgyi eszköz, szellemi termékek beszerzése</v>
          </cell>
          <cell r="D96">
            <v>5200</v>
          </cell>
        </row>
        <row r="97">
          <cell r="C97" t="str">
            <v>Alapilletmények</v>
          </cell>
          <cell r="D97">
            <v>784700</v>
          </cell>
        </row>
        <row r="98">
          <cell r="C98" t="str">
            <v>Nyelvpótlék</v>
          </cell>
          <cell r="D98">
            <v>10000</v>
          </cell>
        </row>
        <row r="99">
          <cell r="C99" t="str">
            <v>vezetői illetménypótlék</v>
          </cell>
          <cell r="D99">
            <v>50000</v>
          </cell>
        </row>
        <row r="100">
          <cell r="C100" t="str">
            <v>Keresetkiegészítések</v>
          </cell>
          <cell r="D100">
            <v>10792</v>
          </cell>
        </row>
        <row r="101">
          <cell r="C101" t="str">
            <v>Jutalom</v>
          </cell>
          <cell r="D101">
            <v>860000</v>
          </cell>
        </row>
        <row r="102">
          <cell r="C102" t="str">
            <v>Társadalombiztosítási járulék</v>
          </cell>
          <cell r="D102">
            <v>445747</v>
          </cell>
        </row>
        <row r="103">
          <cell r="C103" t="str">
            <v>Munkaadói járulék</v>
          </cell>
          <cell r="D103">
            <v>39832</v>
          </cell>
        </row>
        <row r="104">
          <cell r="C104" t="str">
            <v>Startkártya járulékai</v>
          </cell>
          <cell r="D104">
            <v>14029</v>
          </cell>
        </row>
        <row r="105">
          <cell r="C105" t="str">
            <v>Egészségügyi hozzájárulás</v>
          </cell>
          <cell r="D105">
            <v>3900</v>
          </cell>
        </row>
        <row r="106">
          <cell r="C106" t="str">
            <v>Jutalom</v>
          </cell>
          <cell r="D106">
            <v>-675840</v>
          </cell>
        </row>
        <row r="107">
          <cell r="C107" t="str">
            <v>Reprezentáció</v>
          </cell>
          <cell r="D107">
            <v>2356</v>
          </cell>
        </row>
        <row r="108">
          <cell r="C108" t="str">
            <v>Műszaki és Pénzügyi tanácsadás</v>
          </cell>
          <cell r="D108">
            <v>112500</v>
          </cell>
        </row>
        <row r="109">
          <cell r="C109" t="str">
            <v>Reprezentáció</v>
          </cell>
          <cell r="D109">
            <v>25592</v>
          </cell>
        </row>
        <row r="110">
          <cell r="C110" t="str">
            <v>Kommunikációs szolgáltatás</v>
          </cell>
          <cell r="D110">
            <v>84960</v>
          </cell>
        </row>
        <row r="111">
          <cell r="C111" t="str">
            <v>Felügyelő mérnök költsége</v>
          </cell>
          <cell r="D111">
            <v>224979</v>
          </cell>
        </row>
        <row r="112">
          <cell r="C112" t="str">
            <v>Pénzforgalmi jutalék</v>
          </cell>
          <cell r="D112">
            <v>3300</v>
          </cell>
        </row>
        <row r="113">
          <cell r="C113" t="str">
            <v>visszautalás</v>
          </cell>
          <cell r="D113">
            <v>77614</v>
          </cell>
        </row>
        <row r="114">
          <cell r="C114" t="str">
            <v>Egyéb, a beruházás megvalósításához kapcsolódó tevékenység költsége</v>
          </cell>
          <cell r="D114">
            <v>934200</v>
          </cell>
        </row>
        <row r="115">
          <cell r="C115" t="str">
            <v>LOT1 - Királyszentistván</v>
          </cell>
          <cell r="D115">
            <v>67548720</v>
          </cell>
        </row>
        <row r="116">
          <cell r="C116" t="str">
            <v>Pénzforgalmi jutalék</v>
          </cell>
          <cell r="D116">
            <v>80000</v>
          </cell>
        </row>
        <row r="117">
          <cell r="C117" t="str">
            <v>Alapilletmények</v>
          </cell>
          <cell r="D117">
            <v>793100</v>
          </cell>
        </row>
        <row r="118">
          <cell r="C118" t="str">
            <v>Nyelvpótlék</v>
          </cell>
          <cell r="D118">
            <v>10000</v>
          </cell>
        </row>
        <row r="119">
          <cell r="C119" t="str">
            <v>vezetői illetménypótlék</v>
          </cell>
          <cell r="D119">
            <v>50000</v>
          </cell>
        </row>
        <row r="120">
          <cell r="C120" t="str">
            <v>Keresetkiegészítések</v>
          </cell>
          <cell r="D120">
            <v>98000</v>
          </cell>
        </row>
        <row r="121">
          <cell r="C121" t="str">
            <v>Társadalombiztosítási járulék</v>
          </cell>
          <cell r="D121">
            <v>201025</v>
          </cell>
        </row>
        <row r="122">
          <cell r="C122" t="str">
            <v>Munkaerőpiaci járulék</v>
          </cell>
          <cell r="D122">
            <v>16083</v>
          </cell>
        </row>
        <row r="123">
          <cell r="C123" t="str">
            <v>Startkártya járulékai</v>
          </cell>
          <cell r="D123">
            <v>14700</v>
          </cell>
        </row>
        <row r="124">
          <cell r="C124" t="str">
            <v>Munkáltató által fizetett személyi jövedelemadó</v>
          </cell>
          <cell r="D124">
            <v>1378</v>
          </cell>
        </row>
        <row r="125">
          <cell r="C125" t="str">
            <v>Könyvvizsgálati díj</v>
          </cell>
          <cell r="D125">
            <v>170000</v>
          </cell>
        </row>
        <row r="126">
          <cell r="C126" t="str">
            <v>Közlekedési költségtérítés</v>
          </cell>
          <cell r="D126">
            <v>5510</v>
          </cell>
        </row>
        <row r="127">
          <cell r="C127" t="str">
            <v>Közlekedési költségtérítés</v>
          </cell>
          <cell r="D127">
            <v>6498</v>
          </cell>
        </row>
        <row r="128">
          <cell r="C128" t="str">
            <v>Reprezentáció</v>
          </cell>
          <cell r="D128">
            <v>18712</v>
          </cell>
        </row>
        <row r="129">
          <cell r="C129" t="str">
            <v>Bérleti és lízingdíjak</v>
          </cell>
          <cell r="D129">
            <v>20000</v>
          </cell>
        </row>
        <row r="130">
          <cell r="C130" t="str">
            <v>Egyéb dologi kiadások</v>
          </cell>
          <cell r="D130">
            <v>10000</v>
          </cell>
        </row>
        <row r="131">
          <cell r="C131" t="str">
            <v>Pénzforgalmi jutalék</v>
          </cell>
          <cell r="D131">
            <v>3300</v>
          </cell>
        </row>
        <row r="132">
          <cell r="C132" t="str">
            <v>Felügyelő mérnök költsége</v>
          </cell>
          <cell r="D132">
            <v>594118</v>
          </cell>
        </row>
        <row r="133">
          <cell r="C133" t="str">
            <v>Pénzforgalmi jutalék</v>
          </cell>
          <cell r="D133">
            <v>3299</v>
          </cell>
        </row>
        <row r="134">
          <cell r="C134" t="str">
            <v>Reprezentáció</v>
          </cell>
          <cell r="D134">
            <v>30112</v>
          </cell>
        </row>
        <row r="135">
          <cell r="C135" t="str">
            <v>Kisértékű tárgyi eszköz, szellemi termékek beszerzése</v>
          </cell>
          <cell r="D135">
            <v>52140</v>
          </cell>
        </row>
        <row r="136">
          <cell r="D136">
            <v>1200000</v>
          </cell>
        </row>
        <row r="137">
          <cell r="D137">
            <v>1000000</v>
          </cell>
        </row>
        <row r="138">
          <cell r="D138">
            <v>1200000</v>
          </cell>
        </row>
        <row r="139">
          <cell r="D139">
            <v>1000000</v>
          </cell>
        </row>
        <row r="140">
          <cell r="C140" t="str">
            <v>Könyvvizsgálati díj</v>
          </cell>
          <cell r="D140">
            <v>170000</v>
          </cell>
        </row>
        <row r="141">
          <cell r="C141" t="str">
            <v>Közlekedési költségtérítés</v>
          </cell>
          <cell r="D141">
            <v>5510</v>
          </cell>
        </row>
        <row r="142">
          <cell r="C142" t="str">
            <v>Közlekedési költségtérítés</v>
          </cell>
          <cell r="D142">
            <v>5814</v>
          </cell>
        </row>
        <row r="143">
          <cell r="C143" t="str">
            <v>Reprezentáció</v>
          </cell>
          <cell r="D143">
            <v>18400</v>
          </cell>
        </row>
        <row r="144">
          <cell r="C144" t="str">
            <v>Reprezentáció</v>
          </cell>
          <cell r="D144">
            <v>36000</v>
          </cell>
        </row>
        <row r="145">
          <cell r="C145" t="str">
            <v>Reprezentáció</v>
          </cell>
          <cell r="D145">
            <v>31200</v>
          </cell>
        </row>
        <row r="146">
          <cell r="C146" t="str">
            <v>Reprezentáció</v>
          </cell>
          <cell r="D146">
            <v>2400</v>
          </cell>
        </row>
        <row r="147">
          <cell r="C147" t="str">
            <v>Reprezentáció</v>
          </cell>
          <cell r="D147">
            <v>6400</v>
          </cell>
        </row>
        <row r="148">
          <cell r="C148" t="str">
            <v>Reprezentáció</v>
          </cell>
          <cell r="D148">
            <v>19656</v>
          </cell>
        </row>
        <row r="149">
          <cell r="C149" t="str">
            <v>Reprezentáció</v>
          </cell>
          <cell r="D149">
            <v>31200</v>
          </cell>
        </row>
        <row r="150">
          <cell r="C150" t="str">
            <v>Reprezentáció</v>
          </cell>
          <cell r="D150">
            <v>38400</v>
          </cell>
        </row>
        <row r="151">
          <cell r="C151" t="str">
            <v>Alapilletmények</v>
          </cell>
          <cell r="D151">
            <v>793100</v>
          </cell>
        </row>
        <row r="152">
          <cell r="C152" t="str">
            <v>Nyelvpótlék</v>
          </cell>
          <cell r="D152">
            <v>10000</v>
          </cell>
        </row>
        <row r="153">
          <cell r="C153" t="str">
            <v>vezetői illetménypótlék</v>
          </cell>
          <cell r="D153">
            <v>50000</v>
          </cell>
        </row>
        <row r="154">
          <cell r="C154" t="str">
            <v>Társadalombiztosítási járulék</v>
          </cell>
          <cell r="D154">
            <v>180900</v>
          </cell>
        </row>
        <row r="155">
          <cell r="C155" t="str">
            <v>Munkaerőpiaci járulék</v>
          </cell>
          <cell r="D155">
            <v>14473</v>
          </cell>
        </row>
        <row r="156">
          <cell r="C156" t="str">
            <v>Startkártya járulékai</v>
          </cell>
          <cell r="D156">
            <v>12950</v>
          </cell>
        </row>
        <row r="157">
          <cell r="C157" t="str">
            <v>Munkáltató által fizetett személyi jövedelemadó</v>
          </cell>
          <cell r="D157">
            <v>1378</v>
          </cell>
        </row>
        <row r="158">
          <cell r="C158" t="str">
            <v>Egyéb anyagbeszerzés</v>
          </cell>
          <cell r="D158">
            <v>3409</v>
          </cell>
        </row>
        <row r="159">
          <cell r="C159" t="str">
            <v>Belföldi kiküldetés</v>
          </cell>
          <cell r="D159">
            <v>640</v>
          </cell>
        </row>
        <row r="160">
          <cell r="C160" t="str">
            <v>Könyv beszerzése</v>
          </cell>
          <cell r="D160">
            <v>2089</v>
          </cell>
        </row>
        <row r="161">
          <cell r="C161" t="str">
            <v>közbeszerzés - közzététel, értékelés</v>
          </cell>
          <cell r="D161">
            <v>56000</v>
          </cell>
        </row>
        <row r="162">
          <cell r="C162" t="str">
            <v>közbeszerzés - közzététel, értékelés</v>
          </cell>
          <cell r="D162">
            <v>56000</v>
          </cell>
        </row>
        <row r="163">
          <cell r="C163" t="str">
            <v>közbeszerzés - közzététel, értékelés</v>
          </cell>
          <cell r="D163">
            <v>56000</v>
          </cell>
        </row>
        <row r="164">
          <cell r="C164" t="str">
            <v>Reprezentáció</v>
          </cell>
          <cell r="D164">
            <v>32000</v>
          </cell>
        </row>
        <row r="165">
          <cell r="C165" t="str">
            <v>Reprezentáció</v>
          </cell>
          <cell r="D165">
            <v>2800</v>
          </cell>
        </row>
        <row r="166">
          <cell r="C166" t="str">
            <v>Reprezentáció</v>
          </cell>
          <cell r="D166">
            <v>2952</v>
          </cell>
        </row>
        <row r="167">
          <cell r="C167" t="str">
            <v>PR tevékenység</v>
          </cell>
          <cell r="D167">
            <v>363538</v>
          </cell>
        </row>
        <row r="168">
          <cell r="C168" t="str">
            <v>Pénzforgalmi jutalék</v>
          </cell>
          <cell r="D168">
            <v>3301</v>
          </cell>
        </row>
        <row r="169">
          <cell r="C169" t="str">
            <v>Reprezentáció</v>
          </cell>
          <cell r="D169">
            <v>50000</v>
          </cell>
        </row>
        <row r="170">
          <cell r="C170" t="str">
            <v>Pénzforgalmi jutalék</v>
          </cell>
          <cell r="D170">
            <v>1980</v>
          </cell>
        </row>
        <row r="171">
          <cell r="C171" t="str">
            <v>Hatósági engedélyek megszerzésével kapcsolatos költségek</v>
          </cell>
          <cell r="D171">
            <v>29700</v>
          </cell>
        </row>
        <row r="172">
          <cell r="C172" t="str">
            <v>Hatósági engedélyek megszerzésével kapcsolatos költségek</v>
          </cell>
          <cell r="D172">
            <v>750000</v>
          </cell>
        </row>
        <row r="173">
          <cell r="C173" t="str">
            <v>közbeszerzési dokumentáció elkészítésének költsége</v>
          </cell>
          <cell r="D173">
            <v>1500000</v>
          </cell>
        </row>
        <row r="174">
          <cell r="C174" t="str">
            <v>Egyéb dologi kiadások</v>
          </cell>
          <cell r="D174">
            <v>93000</v>
          </cell>
        </row>
        <row r="175">
          <cell r="C175" t="str">
            <v>Könyvvizsgálati díj</v>
          </cell>
          <cell r="D175">
            <v>170000</v>
          </cell>
        </row>
        <row r="176">
          <cell r="C176" t="str">
            <v>közbeszerzési dokumentáció elkészítésének költsége</v>
          </cell>
          <cell r="D176">
            <v>750000</v>
          </cell>
        </row>
        <row r="177">
          <cell r="C177" t="str">
            <v>Reprezentáció</v>
          </cell>
          <cell r="D177">
            <v>8795</v>
          </cell>
        </row>
        <row r="178">
          <cell r="C178" t="str">
            <v>Hatósági engedélyek megszerzésével kapcsolatos költségek</v>
          </cell>
          <cell r="D178">
            <v>8700</v>
          </cell>
        </row>
        <row r="179">
          <cell r="C179" t="str">
            <v>Közlekedési költségtérítés</v>
          </cell>
          <cell r="D179">
            <v>5510</v>
          </cell>
        </row>
        <row r="180">
          <cell r="C180" t="str">
            <v>Reprezentáció</v>
          </cell>
          <cell r="D180">
            <v>13230</v>
          </cell>
        </row>
        <row r="181">
          <cell r="C181" t="str">
            <v>Közlekedési költségtérítés</v>
          </cell>
          <cell r="D181">
            <v>7524</v>
          </cell>
        </row>
        <row r="182">
          <cell r="C182" t="str">
            <v>Reprezentáció</v>
          </cell>
          <cell r="D182">
            <v>2446</v>
          </cell>
        </row>
        <row r="183">
          <cell r="C183" t="str">
            <v>Reprezentáció</v>
          </cell>
          <cell r="D183">
            <v>112488</v>
          </cell>
        </row>
        <row r="184">
          <cell r="C184" t="str">
            <v>Alapilletmények</v>
          </cell>
          <cell r="D184">
            <v>793100</v>
          </cell>
        </row>
        <row r="185">
          <cell r="C185" t="str">
            <v>Nyelvpótlék</v>
          </cell>
          <cell r="D185">
            <v>10000</v>
          </cell>
        </row>
        <row r="186">
          <cell r="C186" t="str">
            <v>vezetői illetménypótlék</v>
          </cell>
          <cell r="D186">
            <v>50000</v>
          </cell>
        </row>
        <row r="187">
          <cell r="C187" t="str">
            <v>Keresetkiegészítések</v>
          </cell>
          <cell r="D187">
            <v>149700</v>
          </cell>
        </row>
        <row r="188">
          <cell r="C188" t="str">
            <v>Társadalombiztosítási járulék</v>
          </cell>
          <cell r="D188">
            <v>209575</v>
          </cell>
        </row>
        <row r="189">
          <cell r="C189" t="str">
            <v>Munkaerőpiaci járulék</v>
          </cell>
          <cell r="D189">
            <v>16767</v>
          </cell>
        </row>
        <row r="190">
          <cell r="C190" t="str">
            <v>Startkártya járulékai</v>
          </cell>
          <cell r="D190">
            <v>18410</v>
          </cell>
        </row>
        <row r="191">
          <cell r="C191" t="str">
            <v>Munkáltató által fizetett személyi jövedelemadó</v>
          </cell>
          <cell r="D191">
            <v>1378</v>
          </cell>
        </row>
        <row r="192">
          <cell r="C192" t="str">
            <v>Egyéb üzemeltetési, fenntartási szolgáltatási kiadások</v>
          </cell>
          <cell r="D192">
            <v>21000</v>
          </cell>
        </row>
        <row r="193">
          <cell r="C193" t="str">
            <v>Reprezentáció</v>
          </cell>
          <cell r="D193">
            <v>30704</v>
          </cell>
        </row>
        <row r="194">
          <cell r="C194" t="str">
            <v>Műszaki és Pénzügyi tanácsadás</v>
          </cell>
          <cell r="D194">
            <v>112500</v>
          </cell>
        </row>
        <row r="195">
          <cell r="C195" t="str">
            <v>Részletes Megvalósíthatósági Tanulmány</v>
          </cell>
          <cell r="D195">
            <v>1087200</v>
          </cell>
        </row>
        <row r="196">
          <cell r="C196" t="str">
            <v>cafeteria hozzájárulás</v>
          </cell>
          <cell r="D196">
            <v>120000</v>
          </cell>
        </row>
        <row r="197">
          <cell r="C197" t="str">
            <v>egyéd dologi kiadás</v>
          </cell>
          <cell r="D197">
            <v>7590</v>
          </cell>
        </row>
        <row r="198">
          <cell r="C198" t="str">
            <v>181/2010</v>
          </cell>
          <cell r="D198">
            <v>6000000</v>
          </cell>
        </row>
        <row r="199">
          <cell r="C199" t="str">
            <v>Alapilletmények</v>
          </cell>
          <cell r="D199">
            <v>793100</v>
          </cell>
        </row>
        <row r="200">
          <cell r="C200" t="str">
            <v>Nyelvpótlék</v>
          </cell>
          <cell r="D200">
            <v>10000</v>
          </cell>
        </row>
        <row r="201">
          <cell r="C201" t="str">
            <v>vezetői illetménypótlék</v>
          </cell>
          <cell r="D201">
            <v>50000</v>
          </cell>
        </row>
        <row r="202">
          <cell r="C202" t="str">
            <v>Keresetkiegészítések</v>
          </cell>
          <cell r="D202">
            <v>49900</v>
          </cell>
        </row>
        <row r="203">
          <cell r="C203" t="str">
            <v>Társadalombiztosítási járulék</v>
          </cell>
          <cell r="D203">
            <v>189000</v>
          </cell>
        </row>
        <row r="204">
          <cell r="C204" t="str">
            <v>Munkaerőpiaci járulék</v>
          </cell>
          <cell r="D204">
            <v>15121</v>
          </cell>
        </row>
        <row r="205">
          <cell r="C205" t="str">
            <v>Startkártya járulékai</v>
          </cell>
          <cell r="D205">
            <v>29400</v>
          </cell>
        </row>
        <row r="206">
          <cell r="C206" t="str">
            <v>Munkáltató által fizetett személyi jövedelemadó</v>
          </cell>
          <cell r="D206">
            <v>1378</v>
          </cell>
        </row>
        <row r="207">
          <cell r="C207" t="str">
            <v>Postai díjak</v>
          </cell>
          <cell r="D207">
            <v>11615</v>
          </cell>
        </row>
        <row r="208">
          <cell r="D208">
            <v>15000</v>
          </cell>
        </row>
        <row r="209">
          <cell r="C209" t="str">
            <v>LOT1 - Királyszentistván</v>
          </cell>
          <cell r="D209">
            <v>150928685</v>
          </cell>
        </row>
        <row r="210">
          <cell r="C210" t="str">
            <v>Pénzforgalmi jutalék</v>
          </cell>
          <cell r="D210">
            <v>80000</v>
          </cell>
        </row>
        <row r="211">
          <cell r="C211" t="str">
            <v>LOT2 - egyéb létesítmények</v>
          </cell>
          <cell r="D211">
            <v>67030748</v>
          </cell>
        </row>
        <row r="212">
          <cell r="C212" t="str">
            <v>Pénzforgalmi jutalék</v>
          </cell>
          <cell r="D212">
            <v>80000</v>
          </cell>
        </row>
        <row r="213">
          <cell r="C213" t="str">
            <v>Közlekedési költségtérítés</v>
          </cell>
          <cell r="D213">
            <v>5510</v>
          </cell>
        </row>
        <row r="214">
          <cell r="C214" t="str">
            <v>cafeteria hozzájárulás</v>
          </cell>
          <cell r="D214">
            <v>265500</v>
          </cell>
        </row>
        <row r="215">
          <cell r="C215" t="str">
            <v>Egyéb dologi kiadások</v>
          </cell>
          <cell r="D215">
            <v>14603</v>
          </cell>
        </row>
        <row r="216">
          <cell r="C216" t="str">
            <v>KEOP-El nem számolható költség</v>
          </cell>
          <cell r="D216">
            <v>6250</v>
          </cell>
        </row>
        <row r="217">
          <cell r="C217" t="str">
            <v>KEOP-El nem számolható költség</v>
          </cell>
          <cell r="D217">
            <v>3000</v>
          </cell>
        </row>
        <row r="218">
          <cell r="C218" t="str">
            <v>Könyvvizsgálati díj</v>
          </cell>
          <cell r="D218">
            <v>170000</v>
          </cell>
        </row>
        <row r="219">
          <cell r="C219" t="str">
            <v>Reprezentáció</v>
          </cell>
          <cell r="D219">
            <v>11000</v>
          </cell>
        </row>
        <row r="220">
          <cell r="C220" t="str">
            <v>Reprezentáció</v>
          </cell>
          <cell r="D220">
            <v>2500</v>
          </cell>
        </row>
        <row r="221">
          <cell r="C221" t="str">
            <v>KEOP-El nem számolható költség</v>
          </cell>
          <cell r="D221">
            <v>6250</v>
          </cell>
        </row>
        <row r="222">
          <cell r="C222" t="str">
            <v>Postai díjak</v>
          </cell>
          <cell r="D222">
            <v>28045</v>
          </cell>
        </row>
        <row r="223">
          <cell r="C223" t="str">
            <v>Belföldi kiküldetés</v>
          </cell>
          <cell r="D223">
            <v>2780</v>
          </cell>
        </row>
        <row r="224">
          <cell r="C224" t="str">
            <v>Reprezentáció</v>
          </cell>
          <cell r="D224">
            <v>1385</v>
          </cell>
        </row>
        <row r="225">
          <cell r="C225" t="str">
            <v>Közlekedési költségtérítés</v>
          </cell>
          <cell r="D225">
            <v>5130</v>
          </cell>
        </row>
        <row r="226">
          <cell r="C226" t="str">
            <v>Eszközbeszerzés költsége</v>
          </cell>
          <cell r="D226">
            <v>28361748.000000004</v>
          </cell>
        </row>
        <row r="227">
          <cell r="C227" t="str">
            <v>Pénzforgalmi jutalék</v>
          </cell>
          <cell r="D227">
            <v>76578</v>
          </cell>
        </row>
        <row r="228">
          <cell r="C228" t="str">
            <v>Felügyelő mérnök költsége</v>
          </cell>
          <cell r="D228">
            <v>216204.14229999998</v>
          </cell>
        </row>
        <row r="229">
          <cell r="C229" t="str">
            <v>Pénzforgalmi jutalék</v>
          </cell>
          <cell r="D229">
            <v>3301</v>
          </cell>
        </row>
        <row r="230">
          <cell r="C230" t="str">
            <v>Reprezentáció</v>
          </cell>
          <cell r="D230">
            <v>9000</v>
          </cell>
        </row>
        <row r="231">
          <cell r="C231" t="str">
            <v>Reprezentáció</v>
          </cell>
          <cell r="D231">
            <v>710</v>
          </cell>
        </row>
        <row r="232">
          <cell r="C232" t="str">
            <v>Reprezentáció</v>
          </cell>
          <cell r="D232">
            <v>25779</v>
          </cell>
        </row>
        <row r="233">
          <cell r="C233" t="str">
            <v>Könyvvizsgálati díj</v>
          </cell>
          <cell r="D233">
            <v>170000</v>
          </cell>
        </row>
        <row r="234">
          <cell r="C234" t="str">
            <v>Jogi szolgáltatás</v>
          </cell>
          <cell r="D234">
            <v>201600</v>
          </cell>
        </row>
        <row r="235">
          <cell r="C235" t="str">
            <v>Kisértékű tárgyi eszköz, szellemi termékek beszerzése</v>
          </cell>
          <cell r="D235">
            <v>113052</v>
          </cell>
        </row>
        <row r="236">
          <cell r="C236" t="str">
            <v>Belföldi kiküldetés</v>
          </cell>
          <cell r="D236">
            <v>5510</v>
          </cell>
        </row>
        <row r="237">
          <cell r="C237" t="str">
            <v>Reprezentáció</v>
          </cell>
          <cell r="D237">
            <v>1080</v>
          </cell>
        </row>
        <row r="238">
          <cell r="C238" t="str">
            <v>Belföldi kiküldetés</v>
          </cell>
          <cell r="D238">
            <v>4446</v>
          </cell>
        </row>
        <row r="239">
          <cell r="C239" t="str">
            <v>Reprezentáció</v>
          </cell>
          <cell r="D239">
            <v>996</v>
          </cell>
        </row>
        <row r="240">
          <cell r="C240" t="str">
            <v>Egyéb anyagbeszerzés</v>
          </cell>
          <cell r="D240">
            <v>22000</v>
          </cell>
        </row>
        <row r="241">
          <cell r="C241" t="str">
            <v>Reprezentáció</v>
          </cell>
          <cell r="D241">
            <v>25600</v>
          </cell>
        </row>
        <row r="242">
          <cell r="C242" t="str">
            <v>Reprezentáció</v>
          </cell>
          <cell r="D242">
            <v>2728</v>
          </cell>
        </row>
        <row r="243">
          <cell r="C243" t="str">
            <v>cafeteria hozzájárulás</v>
          </cell>
          <cell r="D243">
            <v>54000</v>
          </cell>
        </row>
        <row r="244">
          <cell r="C244" t="str">
            <v>Szállítási szolgáltatás díja</v>
          </cell>
          <cell r="D244">
            <v>5000</v>
          </cell>
        </row>
        <row r="245">
          <cell r="C245" t="str">
            <v>Eszközbeszerzés költsége</v>
          </cell>
          <cell r="D245">
            <v>8231675</v>
          </cell>
        </row>
        <row r="246">
          <cell r="C246" t="str">
            <v>Pénzforgalmi jutalék</v>
          </cell>
          <cell r="D246">
            <v>27783</v>
          </cell>
        </row>
        <row r="247">
          <cell r="D247">
            <v>1000000</v>
          </cell>
        </row>
        <row r="248">
          <cell r="C248" t="str">
            <v>Pénzforgalmi jutalék</v>
          </cell>
          <cell r="D248">
            <v>3792</v>
          </cell>
        </row>
        <row r="249">
          <cell r="C249" t="str">
            <v>Könyvvizsgálati díj</v>
          </cell>
          <cell r="D249">
            <v>170000</v>
          </cell>
        </row>
        <row r="250">
          <cell r="C250" t="str">
            <v>Eszközbeszerzés költsége</v>
          </cell>
          <cell r="D250">
            <v>11465191.5</v>
          </cell>
        </row>
        <row r="251">
          <cell r="C251" t="str">
            <v>Pénzforgalmi jutalék</v>
          </cell>
          <cell r="D251">
            <v>30956</v>
          </cell>
        </row>
        <row r="252">
          <cell r="C252" t="str">
            <v>Eszközbeszerzés költsége</v>
          </cell>
          <cell r="D252">
            <v>10449703.11</v>
          </cell>
        </row>
        <row r="253">
          <cell r="C253" t="str">
            <v>Pénzforgalmi jutalék</v>
          </cell>
          <cell r="D253">
            <v>28215</v>
          </cell>
        </row>
        <row r="254">
          <cell r="C254" t="str">
            <v>Reprezentáció</v>
          </cell>
          <cell r="D254">
            <v>5376</v>
          </cell>
        </row>
        <row r="255">
          <cell r="C255" t="str">
            <v>cafeteria hozzájárulás</v>
          </cell>
          <cell r="D255">
            <v>30000</v>
          </cell>
        </row>
        <row r="256">
          <cell r="C256" t="str">
            <v>egyéd dologi kiadás</v>
          </cell>
          <cell r="D256">
            <v>3990</v>
          </cell>
        </row>
        <row r="257">
          <cell r="C257" t="str">
            <v>egyéd dologi kiadás</v>
          </cell>
          <cell r="D257">
            <v>300000</v>
          </cell>
        </row>
        <row r="258">
          <cell r="C258" t="str">
            <v>Közlekedési költségtérítés</v>
          </cell>
          <cell r="D258">
            <v>5510</v>
          </cell>
        </row>
        <row r="259">
          <cell r="C259" t="str">
            <v>Közlekedési költségtérítés</v>
          </cell>
          <cell r="D259">
            <v>7524</v>
          </cell>
        </row>
        <row r="260">
          <cell r="C260" t="str">
            <v>KEOP-El nem számolható költség</v>
          </cell>
          <cell r="D260">
            <v>59000</v>
          </cell>
        </row>
        <row r="261">
          <cell r="C261" t="str">
            <v>KEOP-El nem számolható költség</v>
          </cell>
          <cell r="D261">
            <v>211000</v>
          </cell>
        </row>
        <row r="262">
          <cell r="C262" t="str">
            <v>KEOP-El nem számolható költség</v>
          </cell>
          <cell r="D262">
            <v>31000</v>
          </cell>
        </row>
        <row r="263">
          <cell r="C263" t="str">
            <v>KEOP-El nem számolható költség</v>
          </cell>
          <cell r="D263">
            <v>49500</v>
          </cell>
        </row>
        <row r="264">
          <cell r="C264" t="str">
            <v>KEOP-El nem számolható költség</v>
          </cell>
          <cell r="D264">
            <v>114750</v>
          </cell>
        </row>
        <row r="265">
          <cell r="C265" t="str">
            <v>Reprezentáció</v>
          </cell>
          <cell r="D265">
            <v>20592</v>
          </cell>
        </row>
        <row r="266">
          <cell r="C266" t="str">
            <v>Reprezentáció</v>
          </cell>
          <cell r="D266">
            <v>36560</v>
          </cell>
        </row>
        <row r="267">
          <cell r="C267" t="str">
            <v>Felügyelő mérnök költsége</v>
          </cell>
          <cell r="D267">
            <v>207996.86025</v>
          </cell>
        </row>
        <row r="268">
          <cell r="C268" t="str">
            <v>Pénzforgalmi jutalék</v>
          </cell>
          <cell r="D268">
            <v>3301</v>
          </cell>
        </row>
        <row r="269">
          <cell r="C269" t="str">
            <v>Felügyelő mérnök költsége</v>
          </cell>
          <cell r="D269">
            <v>107727.45749999999</v>
          </cell>
        </row>
        <row r="270">
          <cell r="C270" t="str">
            <v>Pénzforgalmi jutalék</v>
          </cell>
          <cell r="D270">
            <v>3301</v>
          </cell>
        </row>
        <row r="271">
          <cell r="C271" t="str">
            <v>PR tevékenység</v>
          </cell>
          <cell r="D271">
            <v>471680.5293</v>
          </cell>
        </row>
        <row r="272">
          <cell r="C272" t="str">
            <v>Pénzforgalmi jutalék</v>
          </cell>
          <cell r="D272">
            <v>3301</v>
          </cell>
        </row>
        <row r="273">
          <cell r="C273" t="str">
            <v>Felügyelő mérnök költsége</v>
          </cell>
          <cell r="D273">
            <v>161591.18625</v>
          </cell>
        </row>
        <row r="274">
          <cell r="C274" t="str">
            <v>Pénzforgalmi jutalék</v>
          </cell>
          <cell r="D274">
            <v>3301</v>
          </cell>
        </row>
        <row r="275">
          <cell r="C275" t="str">
            <v>Felügyelő mérnök költsége</v>
          </cell>
          <cell r="D275">
            <v>161591.18625</v>
          </cell>
        </row>
        <row r="276">
          <cell r="C276" t="str">
            <v>Pénzforgalmi jutalék</v>
          </cell>
          <cell r="D276">
            <v>3301</v>
          </cell>
        </row>
        <row r="277">
          <cell r="C277" t="str">
            <v>Kommunikációs szolgáltatás</v>
          </cell>
          <cell r="D277">
            <v>84960</v>
          </cell>
        </row>
        <row r="278">
          <cell r="C278" t="str">
            <v>Irodaszer, nyomtatvány beszerzése</v>
          </cell>
          <cell r="D278">
            <v>6300</v>
          </cell>
        </row>
        <row r="279">
          <cell r="D279">
            <v>2700</v>
          </cell>
        </row>
        <row r="280">
          <cell r="C280" t="str">
            <v>Könyvvizsgálati díj</v>
          </cell>
          <cell r="D280">
            <v>170000</v>
          </cell>
        </row>
        <row r="281">
          <cell r="C281" t="str">
            <v>Reprezentáció</v>
          </cell>
          <cell r="D281">
            <v>32012</v>
          </cell>
        </row>
        <row r="282">
          <cell r="C282" t="str">
            <v>Bérleti és lízingdíjak</v>
          </cell>
          <cell r="D282">
            <v>32000</v>
          </cell>
        </row>
        <row r="283">
          <cell r="C283" t="str">
            <v>Postai díjak</v>
          </cell>
          <cell r="D283">
            <v>3520</v>
          </cell>
        </row>
        <row r="284">
          <cell r="D284">
            <v>3000</v>
          </cell>
        </row>
        <row r="285">
          <cell r="D285">
            <v>25000</v>
          </cell>
        </row>
        <row r="286">
          <cell r="C286" t="str">
            <v>LOT1 - Királyszentistván</v>
          </cell>
          <cell r="D286">
            <v>45532629</v>
          </cell>
        </row>
        <row r="287">
          <cell r="C287" t="str">
            <v>Pénzforgalmi jutalék</v>
          </cell>
          <cell r="D287">
            <v>54460</v>
          </cell>
        </row>
        <row r="288">
          <cell r="C288" t="str">
            <v>LOT3 -hulladéksziget</v>
          </cell>
          <cell r="D288">
            <v>2617333</v>
          </cell>
        </row>
        <row r="289">
          <cell r="C289" t="str">
            <v>Pénzforgalmi jutalék</v>
          </cell>
          <cell r="D289">
            <v>3299</v>
          </cell>
        </row>
        <row r="290">
          <cell r="C290" t="str">
            <v>LOT2 - egyéb létesítmények</v>
          </cell>
          <cell r="D290">
            <v>21749539</v>
          </cell>
        </row>
        <row r="291">
          <cell r="C291" t="str">
            <v>Pénzforgalmi jutalék</v>
          </cell>
          <cell r="D291">
            <v>26098</v>
          </cell>
        </row>
        <row r="292">
          <cell r="C292" t="str">
            <v>cafeteria hozzájárulás</v>
          </cell>
          <cell r="D292">
            <v>36500</v>
          </cell>
        </row>
        <row r="293">
          <cell r="C293" t="str">
            <v>egyéd dologi kiadás</v>
          </cell>
          <cell r="D293">
            <v>4250</v>
          </cell>
        </row>
        <row r="294">
          <cell r="C294" t="str">
            <v>Kisértékű tárgyi eszköz, szellemi termékek beszerzése</v>
          </cell>
          <cell r="D294">
            <v>6598</v>
          </cell>
        </row>
        <row r="295">
          <cell r="C295" t="str">
            <v>Belföldi kiküldetés</v>
          </cell>
          <cell r="D295">
            <v>3900</v>
          </cell>
        </row>
        <row r="296">
          <cell r="C296" t="str">
            <v>Reprezentáció</v>
          </cell>
          <cell r="D296">
            <v>2376</v>
          </cell>
        </row>
        <row r="297">
          <cell r="C297" t="str">
            <v>Belföldi kiküldetés</v>
          </cell>
          <cell r="D297">
            <v>3442</v>
          </cell>
        </row>
        <row r="298">
          <cell r="C298" t="str">
            <v>Belföldi kiküldetés</v>
          </cell>
          <cell r="D298">
            <v>3442</v>
          </cell>
        </row>
        <row r="299">
          <cell r="C299" t="str">
            <v>Felügyelő mérnök költsége</v>
          </cell>
          <cell r="D299">
            <v>535894</v>
          </cell>
        </row>
        <row r="300">
          <cell r="C300" t="str">
            <v>Pénzforgalmi jutalék</v>
          </cell>
          <cell r="D300">
            <v>3301</v>
          </cell>
        </row>
        <row r="301">
          <cell r="C301" t="str">
            <v>Felügyelő mérnök költsége</v>
          </cell>
          <cell r="D301">
            <v>535894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115" zoomScaleNormal="115" zoomScalePageLayoutView="0" workbookViewId="0" topLeftCell="A1">
      <selection activeCell="G2" sqref="G2"/>
    </sheetView>
  </sheetViews>
  <sheetFormatPr defaultColWidth="9.140625" defaultRowHeight="15"/>
  <cols>
    <col min="1" max="1" width="4.421875" style="1" customWidth="1"/>
    <col min="2" max="2" width="5.421875" style="1" customWidth="1"/>
    <col min="3" max="3" width="4.140625" style="1" customWidth="1"/>
    <col min="4" max="4" width="3.28125" style="1" customWidth="1"/>
    <col min="5" max="5" width="26.28125" style="1" customWidth="1"/>
    <col min="6" max="6" width="10.7109375" style="2" customWidth="1"/>
    <col min="7" max="7" width="14.7109375" style="1" customWidth="1"/>
    <col min="8" max="8" width="17.57421875" style="1" customWidth="1"/>
    <col min="9" max="9" width="14.7109375" style="1" customWidth="1"/>
    <col min="10" max="10" width="13.140625" style="1" bestFit="1" customWidth="1"/>
    <col min="11" max="16384" width="9.140625" style="1" customWidth="1"/>
  </cols>
  <sheetData>
    <row r="1" spans="1:10" ht="12.75">
      <c r="A1" s="1" t="s">
        <v>16</v>
      </c>
      <c r="I1" s="3"/>
      <c r="J1" s="3" t="s">
        <v>195</v>
      </c>
    </row>
    <row r="2" ht="12.75">
      <c r="E2" s="4" t="s">
        <v>210</v>
      </c>
    </row>
    <row r="3" ht="13.5" thickBot="1"/>
    <row r="4" spans="1:9" ht="15" customHeight="1">
      <c r="A4" s="327" t="s">
        <v>0</v>
      </c>
      <c r="B4" s="327"/>
      <c r="C4" s="327"/>
      <c r="D4" s="327"/>
      <c r="E4" s="327"/>
      <c r="F4" s="327"/>
      <c r="G4" s="193"/>
      <c r="H4" s="193"/>
      <c r="I4" s="196" t="s">
        <v>83</v>
      </c>
    </row>
    <row r="5" spans="1:9" ht="13.5" thickBot="1">
      <c r="A5" s="328"/>
      <c r="B5" s="328"/>
      <c r="C5" s="328"/>
      <c r="D5" s="328"/>
      <c r="E5" s="328"/>
      <c r="F5" s="328"/>
      <c r="G5" s="194"/>
      <c r="H5" s="194"/>
      <c r="I5" s="195">
        <f>I69+I7+I82+I88+I78+1</f>
        <v>6688478.1129465755</v>
      </c>
    </row>
    <row r="7" spans="2:9" ht="12.75">
      <c r="B7" s="34" t="s">
        <v>1</v>
      </c>
      <c r="C7" s="23"/>
      <c r="D7" s="23"/>
      <c r="E7" s="23"/>
      <c r="F7" s="24"/>
      <c r="G7" s="23"/>
      <c r="H7" s="23"/>
      <c r="I7" s="34">
        <f>H8+H30+H54+H61+H65</f>
        <v>6193192.52275</v>
      </c>
    </row>
    <row r="8" spans="2:9" ht="12.75">
      <c r="B8" s="260" t="s">
        <v>126</v>
      </c>
      <c r="C8" s="261"/>
      <c r="D8" s="261"/>
      <c r="E8" s="261"/>
      <c r="F8" s="262"/>
      <c r="G8" s="261"/>
      <c r="H8" s="260">
        <f>I99</f>
        <v>250776.2</v>
      </c>
      <c r="I8" s="5"/>
    </row>
    <row r="9" spans="2:9" ht="13.5">
      <c r="B9" s="10"/>
      <c r="C9" s="27" t="s">
        <v>11</v>
      </c>
      <c r="D9" s="22"/>
      <c r="E9" s="22"/>
      <c r="F9" s="12"/>
      <c r="G9" s="11"/>
      <c r="H9" s="257">
        <f>I100</f>
        <v>37035.7</v>
      </c>
      <c r="I9" s="9"/>
    </row>
    <row r="10" spans="2:9" ht="12.75">
      <c r="B10" s="245" t="s">
        <v>133</v>
      </c>
      <c r="C10" s="248"/>
      <c r="D10" s="248"/>
      <c r="E10" s="248"/>
      <c r="F10" s="249"/>
      <c r="G10" s="248"/>
      <c r="H10" s="259">
        <f>H9</f>
        <v>37035.7</v>
      </c>
      <c r="I10" s="8"/>
    </row>
    <row r="11" spans="2:9" ht="12.75">
      <c r="B11" s="245"/>
      <c r="C11" s="248" t="s">
        <v>166</v>
      </c>
      <c r="D11" s="248"/>
      <c r="E11" s="248"/>
      <c r="F11" s="249"/>
      <c r="G11" s="248"/>
      <c r="H11" s="259">
        <f>H10/1.25+0.5</f>
        <v>29629.059999999998</v>
      </c>
      <c r="I11" s="8"/>
    </row>
    <row r="12" spans="2:9" ht="12.75">
      <c r="B12" s="245"/>
      <c r="C12" s="248" t="s">
        <v>167</v>
      </c>
      <c r="D12" s="248"/>
      <c r="E12" s="248"/>
      <c r="F12" s="249"/>
      <c r="G12" s="248"/>
      <c r="H12" s="259">
        <f>H11*0.25</f>
        <v>7407.264999999999</v>
      </c>
      <c r="I12" s="8"/>
    </row>
    <row r="13" spans="2:9" ht="12.75">
      <c r="B13" s="10"/>
      <c r="C13" s="27" t="s">
        <v>200</v>
      </c>
      <c r="D13" s="27"/>
      <c r="E13" s="27"/>
      <c r="F13" s="28"/>
      <c r="G13" s="11"/>
      <c r="H13" s="257">
        <f>I107</f>
        <v>36722</v>
      </c>
      <c r="I13" s="9"/>
    </row>
    <row r="14" spans="5:8" ht="12.75">
      <c r="E14" s="15" t="s">
        <v>17</v>
      </c>
      <c r="F14" s="16"/>
      <c r="G14" s="15"/>
      <c r="H14" s="235">
        <f>H13</f>
        <v>36722</v>
      </c>
    </row>
    <row r="15" spans="3:10" ht="12.75">
      <c r="C15" s="27" t="s">
        <v>130</v>
      </c>
      <c r="D15" s="27"/>
      <c r="E15" s="27"/>
      <c r="F15" s="27"/>
      <c r="G15" s="27"/>
      <c r="H15" s="27">
        <f>G108</f>
        <v>28000</v>
      </c>
      <c r="I15" s="27"/>
      <c r="J15" s="27"/>
    </row>
    <row r="16" spans="2:9" ht="12.75">
      <c r="B16" s="245" t="s">
        <v>133</v>
      </c>
      <c r="C16" s="248"/>
      <c r="D16" s="248"/>
      <c r="E16" s="248"/>
      <c r="F16" s="249"/>
      <c r="G16" s="248"/>
      <c r="H16" s="247">
        <f>H15</f>
        <v>28000</v>
      </c>
      <c r="I16" s="8"/>
    </row>
    <row r="17" spans="2:9" ht="12.75">
      <c r="B17" s="245"/>
      <c r="C17" s="248" t="s">
        <v>166</v>
      </c>
      <c r="D17" s="248"/>
      <c r="E17" s="248"/>
      <c r="F17" s="249"/>
      <c r="G17" s="248"/>
      <c r="H17" s="259">
        <f>H16/1.25</f>
        <v>22400</v>
      </c>
      <c r="I17" s="8"/>
    </row>
    <row r="18" spans="2:9" ht="12.75">
      <c r="B18" s="245"/>
      <c r="C18" s="248" t="s">
        <v>167</v>
      </c>
      <c r="D18" s="248"/>
      <c r="E18" s="248"/>
      <c r="F18" s="249"/>
      <c r="G18" s="248"/>
      <c r="H18" s="259">
        <f>H17*0.25</f>
        <v>5600</v>
      </c>
      <c r="I18" s="8"/>
    </row>
    <row r="19" spans="3:10" ht="12.75">
      <c r="C19" s="27" t="s">
        <v>153</v>
      </c>
      <c r="D19" s="27"/>
      <c r="E19" s="27"/>
      <c r="F19" s="27"/>
      <c r="G19" s="27"/>
      <c r="H19" s="27">
        <f>I109</f>
        <v>50000</v>
      </c>
      <c r="I19" s="27"/>
      <c r="J19" s="27"/>
    </row>
    <row r="20" spans="2:9" ht="12.75">
      <c r="B20" s="245" t="s">
        <v>133</v>
      </c>
      <c r="C20" s="248"/>
      <c r="D20" s="248"/>
      <c r="E20" s="248"/>
      <c r="F20" s="249"/>
      <c r="G20" s="248"/>
      <c r="H20" s="247">
        <f>H19</f>
        <v>50000</v>
      </c>
      <c r="I20" s="8"/>
    </row>
    <row r="21" spans="2:9" ht="12.75">
      <c r="B21" s="245"/>
      <c r="C21" s="248" t="s">
        <v>166</v>
      </c>
      <c r="D21" s="248"/>
      <c r="E21" s="248"/>
      <c r="F21" s="249"/>
      <c r="G21" s="248"/>
      <c r="H21" s="259">
        <f>H20/1.25</f>
        <v>40000</v>
      </c>
      <c r="I21" s="8"/>
    </row>
    <row r="22" spans="2:9" ht="12.75">
      <c r="B22" s="245"/>
      <c r="C22" s="248" t="s">
        <v>167</v>
      </c>
      <c r="D22" s="248"/>
      <c r="E22" s="248"/>
      <c r="F22" s="249"/>
      <c r="G22" s="248"/>
      <c r="H22" s="259">
        <f>H21*0.25</f>
        <v>10000</v>
      </c>
      <c r="I22" s="8"/>
    </row>
    <row r="23" spans="3:10" ht="12.75">
      <c r="C23" s="27" t="s">
        <v>161</v>
      </c>
      <c r="D23" s="27"/>
      <c r="E23" s="27"/>
      <c r="F23" s="27"/>
      <c r="G23" s="27"/>
      <c r="H23" s="27">
        <f>I110</f>
        <v>61656.25</v>
      </c>
      <c r="I23" s="27"/>
      <c r="J23" s="27"/>
    </row>
    <row r="24" spans="2:8" ht="12.75">
      <c r="B24" s="10"/>
      <c r="D24" s="11"/>
      <c r="E24" s="11" t="s">
        <v>2</v>
      </c>
      <c r="F24" s="12"/>
      <c r="G24" s="11">
        <f>H110</f>
        <v>12331.25</v>
      </c>
      <c r="H24" s="11"/>
    </row>
    <row r="25" spans="2:8" ht="12.75">
      <c r="B25" s="10"/>
      <c r="D25" s="11"/>
      <c r="E25" s="186" t="s">
        <v>165</v>
      </c>
      <c r="F25" s="20"/>
      <c r="G25" s="11"/>
      <c r="H25" s="11">
        <f>H23-G24</f>
        <v>49325</v>
      </c>
    </row>
    <row r="26" spans="3:10" ht="12.75">
      <c r="C26" s="27" t="s">
        <v>162</v>
      </c>
      <c r="D26" s="27"/>
      <c r="E26" s="27"/>
      <c r="F26" s="27"/>
      <c r="G26" s="27"/>
      <c r="H26" s="27">
        <f>I111</f>
        <v>37361.25</v>
      </c>
      <c r="I26" s="27"/>
      <c r="J26" s="27"/>
    </row>
    <row r="27" spans="2:8" ht="12.75">
      <c r="B27" s="10"/>
      <c r="D27" s="11"/>
      <c r="E27" s="11" t="s">
        <v>2</v>
      </c>
      <c r="F27" s="12"/>
      <c r="G27" s="11">
        <f>H111</f>
        <v>7472.25</v>
      </c>
      <c r="H27" s="11"/>
    </row>
    <row r="28" spans="2:8" ht="12.75">
      <c r="B28" s="10"/>
      <c r="D28" s="11"/>
      <c r="E28" s="186" t="s">
        <v>165</v>
      </c>
      <c r="F28" s="20"/>
      <c r="G28" s="11"/>
      <c r="H28" s="11">
        <f>H26-G27</f>
        <v>29889</v>
      </c>
    </row>
    <row r="29" spans="5:7" ht="12.75">
      <c r="E29" s="17"/>
      <c r="F29" s="18"/>
      <c r="G29" s="13"/>
    </row>
    <row r="30" spans="2:8" ht="12.75">
      <c r="B30" s="31" t="s">
        <v>150</v>
      </c>
      <c r="C30" s="31"/>
      <c r="D30" s="31"/>
      <c r="E30" s="6"/>
      <c r="F30" s="7"/>
      <c r="G30" s="6"/>
      <c r="H30" s="9">
        <f>H31+H39+H46</f>
        <v>52893.69775000001</v>
      </c>
    </row>
    <row r="31" spans="2:8" ht="14.25" customHeight="1">
      <c r="B31" s="28" t="s">
        <v>147</v>
      </c>
      <c r="C31" s="28"/>
      <c r="D31" s="28"/>
      <c r="E31" s="6"/>
      <c r="F31" s="7"/>
      <c r="G31" s="6"/>
      <c r="H31" s="11">
        <f>I114</f>
        <v>35847</v>
      </c>
    </row>
    <row r="32" spans="2:8" ht="12.75">
      <c r="B32" s="10"/>
      <c r="D32" s="11"/>
      <c r="E32" s="11" t="s">
        <v>2</v>
      </c>
      <c r="F32" s="12"/>
      <c r="G32" s="11">
        <v>0</v>
      </c>
      <c r="H32" s="11"/>
    </row>
    <row r="33" spans="2:8" ht="12.75">
      <c r="B33" s="10"/>
      <c r="D33" s="11"/>
      <c r="E33" s="11" t="s">
        <v>134</v>
      </c>
      <c r="F33" s="20">
        <v>0.85</v>
      </c>
      <c r="G33" s="11"/>
      <c r="H33" s="11">
        <f>H31*F33</f>
        <v>30469.95</v>
      </c>
    </row>
    <row r="34" spans="5:8" ht="12.75">
      <c r="E34" s="186" t="s">
        <v>17</v>
      </c>
      <c r="F34" s="237">
        <v>0.15</v>
      </c>
      <c r="G34" s="188"/>
      <c r="H34" s="188">
        <f>H31*F34</f>
        <v>5377.05</v>
      </c>
    </row>
    <row r="35" spans="5:8" ht="12.75">
      <c r="E35" s="17" t="s">
        <v>138</v>
      </c>
      <c r="F35" s="18"/>
      <c r="H35" s="1">
        <f>H34</f>
        <v>5377.05</v>
      </c>
    </row>
    <row r="36" spans="5:8" ht="12.75">
      <c r="E36" s="17" t="s">
        <v>207</v>
      </c>
      <c r="F36" s="18"/>
      <c r="H36" s="1">
        <f>'Felhalmozási kiadások keop'!E21/1000</f>
        <v>602.4</v>
      </c>
    </row>
    <row r="37" spans="5:9" ht="12.75">
      <c r="E37" s="254" t="s">
        <v>163</v>
      </c>
      <c r="F37" s="255"/>
      <c r="G37" s="256"/>
      <c r="H37" s="256">
        <f>H35-H36</f>
        <v>4774.650000000001</v>
      </c>
      <c r="I37" s="239"/>
    </row>
    <row r="38" spans="2:6" ht="12.75">
      <c r="B38" s="8"/>
      <c r="C38" s="8"/>
      <c r="D38" s="8"/>
      <c r="E38" s="238"/>
      <c r="F38" s="18"/>
    </row>
    <row r="39" spans="2:8" ht="12.75">
      <c r="B39" s="1" t="s">
        <v>151</v>
      </c>
      <c r="E39" s="17"/>
      <c r="F39" s="18"/>
      <c r="H39" s="1">
        <f>I115</f>
        <v>8671.679</v>
      </c>
    </row>
    <row r="40" spans="2:8" ht="12.75">
      <c r="B40" s="10"/>
      <c r="D40" s="11"/>
      <c r="E40" s="11" t="s">
        <v>2</v>
      </c>
      <c r="F40" s="12"/>
      <c r="G40" s="11"/>
      <c r="H40" s="11"/>
    </row>
    <row r="41" spans="5:9" ht="12.75">
      <c r="E41" s="17" t="s">
        <v>127</v>
      </c>
      <c r="F41" s="20">
        <v>0.85</v>
      </c>
      <c r="H41" s="1">
        <f>H39*F41</f>
        <v>7370.9271499999995</v>
      </c>
      <c r="I41" s="234"/>
    </row>
    <row r="42" spans="5:9" ht="12.75">
      <c r="E42" s="17" t="s">
        <v>140</v>
      </c>
      <c r="F42" s="237">
        <v>0.15</v>
      </c>
      <c r="H42" s="1">
        <f>H39*F42</f>
        <v>1300.7518499999999</v>
      </c>
      <c r="I42" s="234"/>
    </row>
    <row r="43" spans="2:8" ht="12.75">
      <c r="B43" s="332" t="s">
        <v>139</v>
      </c>
      <c r="C43" s="332"/>
      <c r="D43" s="332"/>
      <c r="E43" s="332"/>
      <c r="F43" s="18"/>
      <c r="H43" s="1">
        <f>H42</f>
        <v>1300.7518499999999</v>
      </c>
    </row>
    <row r="44" spans="2:8" ht="12.75">
      <c r="B44" s="333" t="s">
        <v>164</v>
      </c>
      <c r="C44" s="333"/>
      <c r="D44" s="333"/>
      <c r="E44" s="333"/>
      <c r="F44" s="255"/>
      <c r="G44" s="256"/>
      <c r="H44" s="256">
        <f>H42</f>
        <v>1300.7518499999999</v>
      </c>
    </row>
    <row r="45" spans="2:6" s="28" customFormat="1" ht="12.75">
      <c r="B45" s="252"/>
      <c r="C45" s="253"/>
      <c r="F45" s="253"/>
    </row>
    <row r="46" spans="2:8" ht="12.75">
      <c r="B46" s="1" t="s">
        <v>152</v>
      </c>
      <c r="E46" s="17"/>
      <c r="F46" s="18"/>
      <c r="H46" s="1">
        <f>I116</f>
        <v>8375.018750000001</v>
      </c>
    </row>
    <row r="47" spans="4:7" ht="12.75">
      <c r="D47" s="11" t="s">
        <v>2</v>
      </c>
      <c r="E47" s="12"/>
      <c r="F47" s="11">
        <v>0</v>
      </c>
      <c r="G47" s="11"/>
    </row>
    <row r="48" spans="2:8" s="239" customFormat="1" ht="12.75">
      <c r="B48" s="247" t="s">
        <v>132</v>
      </c>
      <c r="C48" s="247"/>
      <c r="D48" s="245"/>
      <c r="E48" s="246"/>
      <c r="F48" s="247"/>
      <c r="G48" s="247"/>
      <c r="H48" s="247">
        <f>H46-F47-H52</f>
        <v>8000.018750000001</v>
      </c>
    </row>
    <row r="49" spans="2:9" ht="12.75">
      <c r="B49" s="245"/>
      <c r="C49" s="248" t="s">
        <v>166</v>
      </c>
      <c r="D49" s="248"/>
      <c r="E49" s="248"/>
      <c r="F49" s="249"/>
      <c r="G49" s="248"/>
      <c r="H49" s="259">
        <f>H48/1.25</f>
        <v>6400.015000000001</v>
      </c>
      <c r="I49" s="8"/>
    </row>
    <row r="50" spans="2:9" ht="12.75">
      <c r="B50" s="245"/>
      <c r="C50" s="248" t="s">
        <v>167</v>
      </c>
      <c r="D50" s="248"/>
      <c r="E50" s="248"/>
      <c r="F50" s="249"/>
      <c r="G50" s="248"/>
      <c r="H50" s="259">
        <f>H49*0.25</f>
        <v>1600.0037500000003</v>
      </c>
      <c r="I50" s="8"/>
    </row>
    <row r="51" spans="2:8" ht="12.75">
      <c r="B51" s="323" t="s">
        <v>139</v>
      </c>
      <c r="C51" s="323"/>
      <c r="D51" s="323"/>
      <c r="E51" s="323"/>
      <c r="F51" s="18"/>
      <c r="H51" s="1">
        <f>H52</f>
        <v>375</v>
      </c>
    </row>
    <row r="52" spans="2:8" ht="12.75">
      <c r="B52" s="324" t="s">
        <v>164</v>
      </c>
      <c r="C52" s="324"/>
      <c r="D52" s="324"/>
      <c r="E52" s="324"/>
      <c r="F52" s="255"/>
      <c r="G52" s="256"/>
      <c r="H52" s="256">
        <v>375</v>
      </c>
    </row>
    <row r="53" spans="2:6" s="28" customFormat="1" ht="12.75">
      <c r="B53" s="252"/>
      <c r="C53" s="253"/>
      <c r="F53" s="253"/>
    </row>
    <row r="54" spans="2:8" ht="12.75">
      <c r="B54" s="8" t="s">
        <v>122</v>
      </c>
      <c r="C54" s="8"/>
      <c r="D54" s="8"/>
      <c r="E54" s="6"/>
      <c r="F54" s="7"/>
      <c r="G54" s="6"/>
      <c r="H54" s="5">
        <f>I118</f>
        <v>4743022.625</v>
      </c>
    </row>
    <row r="55" spans="2:9" ht="12.75">
      <c r="B55" s="10"/>
      <c r="D55" s="11"/>
      <c r="E55" s="11" t="s">
        <v>2</v>
      </c>
      <c r="F55" s="12"/>
      <c r="G55" s="11">
        <f>H118</f>
        <v>948604.525</v>
      </c>
      <c r="H55" s="11"/>
      <c r="I55" s="21"/>
    </row>
    <row r="56" spans="5:8" ht="12.75">
      <c r="E56" s="186"/>
      <c r="F56" s="187"/>
      <c r="G56" s="188"/>
      <c r="H56" s="188">
        <f>H54-G55</f>
        <v>3794418.1</v>
      </c>
    </row>
    <row r="57" spans="5:9" ht="12.75">
      <c r="E57" s="17" t="s">
        <v>127</v>
      </c>
      <c r="F57" s="18">
        <v>0.8104</v>
      </c>
      <c r="G57" s="1">
        <f>H56*F57</f>
        <v>3074996.4282400003</v>
      </c>
      <c r="I57" s="236"/>
    </row>
    <row r="58" spans="5:9" ht="12.75">
      <c r="E58" s="17" t="s">
        <v>140</v>
      </c>
      <c r="F58" s="263">
        <v>0.1896</v>
      </c>
      <c r="G58" s="1">
        <f>H56*F58</f>
        <v>719421.6717599999</v>
      </c>
      <c r="I58" s="234"/>
    </row>
    <row r="59" spans="5:9" ht="12.75">
      <c r="E59" s="267" t="s">
        <v>141</v>
      </c>
      <c r="F59" s="268"/>
      <c r="G59" s="269">
        <f>G58</f>
        <v>719421.6717599999</v>
      </c>
      <c r="I59" s="9"/>
    </row>
    <row r="60" spans="5:9" ht="12.75">
      <c r="E60" s="17"/>
      <c r="F60" s="18"/>
      <c r="I60" s="9"/>
    </row>
    <row r="61" spans="2:9" ht="12.75">
      <c r="B61" s="8" t="s">
        <v>149</v>
      </c>
      <c r="C61" s="8"/>
      <c r="D61" s="8"/>
      <c r="E61" s="6"/>
      <c r="F61" s="7"/>
      <c r="G61" s="6"/>
      <c r="H61" s="5">
        <f>I122</f>
        <v>1140000</v>
      </c>
      <c r="I61" s="9"/>
    </row>
    <row r="62" spans="2:9" ht="12.75">
      <c r="B62" s="10"/>
      <c r="D62" s="11"/>
      <c r="E62" s="11" t="s">
        <v>2</v>
      </c>
      <c r="F62" s="12"/>
      <c r="G62" s="11">
        <f>H124</f>
        <v>0</v>
      </c>
      <c r="H62" s="11"/>
      <c r="I62" s="9"/>
    </row>
    <row r="63" spans="5:9" ht="12.75">
      <c r="E63" s="17" t="s">
        <v>127</v>
      </c>
      <c r="F63" s="18">
        <v>1</v>
      </c>
      <c r="G63" s="19"/>
      <c r="H63" s="1">
        <f>H61*F63</f>
        <v>1140000</v>
      </c>
      <c r="I63" s="9"/>
    </row>
    <row r="64" spans="5:9" ht="12.75">
      <c r="E64" s="17"/>
      <c r="F64" s="18"/>
      <c r="G64" s="19"/>
      <c r="I64" s="9"/>
    </row>
    <row r="65" spans="2:8" s="28" customFormat="1" ht="24" customHeight="1">
      <c r="B65" s="33" t="s">
        <v>176</v>
      </c>
      <c r="C65" s="31"/>
      <c r="D65" s="31"/>
      <c r="E65" s="238"/>
      <c r="F65" s="18"/>
      <c r="G65" s="1"/>
      <c r="H65" s="1">
        <f>I126</f>
        <v>6500</v>
      </c>
    </row>
    <row r="66" spans="2:9" ht="12.75">
      <c r="B66" s="10"/>
      <c r="D66" s="11"/>
      <c r="E66" s="11" t="s">
        <v>2</v>
      </c>
      <c r="F66" s="12"/>
      <c r="G66" s="11">
        <f>H126</f>
        <v>1300</v>
      </c>
      <c r="H66" s="11"/>
      <c r="I66" s="9"/>
    </row>
    <row r="67" spans="2:9" ht="12.75">
      <c r="B67" s="10"/>
      <c r="D67" s="11"/>
      <c r="E67" s="307" t="s">
        <v>177</v>
      </c>
      <c r="F67" s="12"/>
      <c r="G67" s="11"/>
      <c r="H67" s="11">
        <f>H65-G66</f>
        <v>5200</v>
      </c>
      <c r="I67" s="9"/>
    </row>
    <row r="68" spans="2:8" s="28" customFormat="1" ht="24" customHeight="1">
      <c r="B68" s="35"/>
      <c r="E68" s="17"/>
      <c r="F68" s="18"/>
      <c r="G68" s="1"/>
      <c r="H68" s="1"/>
    </row>
    <row r="69" spans="2:9" ht="12.75">
      <c r="B69" s="34" t="s">
        <v>4</v>
      </c>
      <c r="C69" s="23"/>
      <c r="D69" s="23"/>
      <c r="E69" s="23"/>
      <c r="F69" s="24"/>
      <c r="G69" s="23"/>
      <c r="H69" s="23"/>
      <c r="I69" s="34">
        <f>I70</f>
        <v>32852.00045</v>
      </c>
    </row>
    <row r="70" spans="2:9" s="28" customFormat="1" ht="24" customHeight="1">
      <c r="B70" s="8" t="s">
        <v>128</v>
      </c>
      <c r="C70" s="1"/>
      <c r="D70" s="1"/>
      <c r="E70" s="17"/>
      <c r="F70" s="18"/>
      <c r="G70" s="1"/>
      <c r="H70" s="1"/>
      <c r="I70" s="31">
        <f>I128</f>
        <v>32852.00045</v>
      </c>
    </row>
    <row r="71" spans="1:8" s="28" customFormat="1" ht="24" customHeight="1">
      <c r="A71" s="1" t="s">
        <v>129</v>
      </c>
      <c r="C71" s="1"/>
      <c r="D71" s="1"/>
      <c r="E71" s="17"/>
      <c r="F71" s="18"/>
      <c r="G71" s="1"/>
      <c r="H71" s="1">
        <f>H135</f>
        <v>2725.54825</v>
      </c>
    </row>
    <row r="72" spans="2:9" s="28" customFormat="1" ht="24" customHeight="1">
      <c r="B72" s="1"/>
      <c r="C72" s="1" t="s">
        <v>131</v>
      </c>
      <c r="D72" s="1"/>
      <c r="E72" s="17"/>
      <c r="F72" s="18"/>
      <c r="G72" s="1"/>
      <c r="H72" s="1"/>
      <c r="I72" s="28">
        <f>I70-H71</f>
        <v>30126.4522</v>
      </c>
    </row>
    <row r="73" spans="2:9" s="28" customFormat="1" ht="24" customHeight="1">
      <c r="B73" s="1"/>
      <c r="C73" s="247" t="s">
        <v>132</v>
      </c>
      <c r="D73" s="247"/>
      <c r="E73" s="245"/>
      <c r="F73" s="246"/>
      <c r="G73" s="247"/>
      <c r="H73" s="247"/>
      <c r="I73" s="247">
        <v>25362</v>
      </c>
    </row>
    <row r="74" spans="2:9" s="28" customFormat="1" ht="24" customHeight="1">
      <c r="B74" s="1"/>
      <c r="C74" s="247" t="s">
        <v>166</v>
      </c>
      <c r="D74" s="247"/>
      <c r="E74" s="245"/>
      <c r="F74" s="246"/>
      <c r="G74" s="247"/>
      <c r="H74" s="247"/>
      <c r="I74" s="247">
        <f>I73/1.25</f>
        <v>20289.6</v>
      </c>
    </row>
    <row r="75" spans="2:9" s="28" customFormat="1" ht="24" customHeight="1">
      <c r="B75" s="1"/>
      <c r="C75" s="247" t="s">
        <v>168</v>
      </c>
      <c r="D75" s="247"/>
      <c r="E75" s="245"/>
      <c r="F75" s="246"/>
      <c r="G75" s="247"/>
      <c r="H75" s="247"/>
      <c r="I75" s="247">
        <f>I74*0.25</f>
        <v>5072.4</v>
      </c>
    </row>
    <row r="76" spans="2:9" s="28" customFormat="1" ht="24" customHeight="1">
      <c r="B76" s="1"/>
      <c r="C76" s="308" t="s">
        <v>198</v>
      </c>
      <c r="D76" s="308"/>
      <c r="E76" s="309"/>
      <c r="F76" s="253"/>
      <c r="I76" s="28">
        <f>I72-I73</f>
        <v>4764.4522</v>
      </c>
    </row>
    <row r="77" spans="2:6" s="28" customFormat="1" ht="24" customHeight="1">
      <c r="B77" s="1"/>
      <c r="C77" s="252"/>
      <c r="E77" s="252"/>
      <c r="F77" s="253"/>
    </row>
    <row r="78" spans="2:9" s="28" customFormat="1" ht="24" customHeight="1">
      <c r="B78" s="1"/>
      <c r="C78" s="8" t="s">
        <v>196</v>
      </c>
      <c r="D78" s="8"/>
      <c r="E78" s="8"/>
      <c r="F78" s="31"/>
      <c r="G78" s="306"/>
      <c r="I78" s="8">
        <f>I138</f>
        <v>6000</v>
      </c>
    </row>
    <row r="79" spans="3:9" ht="12.75">
      <c r="C79" s="8"/>
      <c r="D79" s="11" t="s">
        <v>197</v>
      </c>
      <c r="E79" s="8"/>
      <c r="F79" s="31"/>
      <c r="G79" s="306"/>
      <c r="H79" s="28"/>
      <c r="I79" s="1">
        <v>370</v>
      </c>
    </row>
    <row r="80" spans="3:9" ht="12.75">
      <c r="C80" s="8"/>
      <c r="D80" s="307" t="s">
        <v>177</v>
      </c>
      <c r="E80" s="8"/>
      <c r="F80" s="31"/>
      <c r="G80" s="306"/>
      <c r="H80" s="28"/>
      <c r="I80" s="1">
        <v>5630</v>
      </c>
    </row>
    <row r="81" spans="3:8" ht="12.75">
      <c r="C81" s="8"/>
      <c r="D81" s="11"/>
      <c r="E81" s="8"/>
      <c r="F81" s="31"/>
      <c r="G81" s="306"/>
      <c r="H81" s="28"/>
    </row>
    <row r="82" spans="2:9" s="28" customFormat="1" ht="13.5">
      <c r="B82" s="8" t="s">
        <v>114</v>
      </c>
      <c r="C82" s="1"/>
      <c r="D82" s="1"/>
      <c r="E82" s="1"/>
      <c r="F82" s="32"/>
      <c r="G82" s="31"/>
      <c r="H82" s="31"/>
      <c r="I82" s="33">
        <f>I141</f>
        <v>215274.58974657534</v>
      </c>
    </row>
    <row r="83" spans="2:9" s="28" customFormat="1" ht="24" customHeight="1">
      <c r="B83" s="1"/>
      <c r="C83" s="247" t="s">
        <v>169</v>
      </c>
      <c r="D83" s="247"/>
      <c r="E83" s="245"/>
      <c r="F83" s="246"/>
      <c r="G83" s="247"/>
      <c r="H83" s="247"/>
      <c r="I83" s="247">
        <f>131001-4521</f>
        <v>126480</v>
      </c>
    </row>
    <row r="84" spans="2:9" s="28" customFormat="1" ht="24" customHeight="1">
      <c r="B84" s="1"/>
      <c r="C84" s="247" t="s">
        <v>170</v>
      </c>
      <c r="D84" s="247"/>
      <c r="E84" s="245"/>
      <c r="F84" s="246"/>
      <c r="G84" s="247"/>
      <c r="H84" s="247"/>
      <c r="I84" s="247">
        <f>I83*0.25+2</f>
        <v>31622</v>
      </c>
    </row>
    <row r="85" spans="3:9" s="28" customFormat="1" ht="12.75">
      <c r="C85" s="307" t="s">
        <v>177</v>
      </c>
      <c r="D85" s="8"/>
      <c r="F85" s="253"/>
      <c r="I85" s="38">
        <f>5010+9108+1141</f>
        <v>15259</v>
      </c>
    </row>
    <row r="86" spans="3:9" s="28" customFormat="1" ht="24" customHeight="1">
      <c r="C86" s="1" t="s">
        <v>173</v>
      </c>
      <c r="E86" s="1"/>
      <c r="F86" s="1"/>
      <c r="G86" s="17"/>
      <c r="H86" s="1"/>
      <c r="I86" s="28">
        <f>Munka1!B33/1000</f>
        <v>41913.730384999995</v>
      </c>
    </row>
    <row r="87" spans="2:9" s="28" customFormat="1" ht="13.5">
      <c r="B87" s="1"/>
      <c r="C87" s="1"/>
      <c r="D87" s="1"/>
      <c r="E87" s="1"/>
      <c r="F87" s="32"/>
      <c r="G87" s="31"/>
      <c r="H87" s="31"/>
      <c r="I87" s="33"/>
    </row>
    <row r="88" spans="2:9" s="28" customFormat="1" ht="13.5">
      <c r="B88" s="31" t="s">
        <v>99</v>
      </c>
      <c r="C88" s="8"/>
      <c r="D88" s="8"/>
      <c r="E88" s="1"/>
      <c r="F88" s="32"/>
      <c r="G88" s="31"/>
      <c r="H88" s="31"/>
      <c r="I88" s="33">
        <f>I89+I92</f>
        <v>241158</v>
      </c>
    </row>
    <row r="89" spans="2:9" s="28" customFormat="1" ht="26.25" customHeight="1">
      <c r="B89" s="329" t="s">
        <v>172</v>
      </c>
      <c r="C89" s="329"/>
      <c r="D89" s="329"/>
      <c r="E89" s="329"/>
      <c r="F89" s="32"/>
      <c r="G89" s="31"/>
      <c r="H89" s="31"/>
      <c r="I89" s="28">
        <f>I147</f>
        <v>61302</v>
      </c>
    </row>
    <row r="90" spans="2:9" s="28" customFormat="1" ht="26.25" customHeight="1">
      <c r="B90" s="330" t="s">
        <v>174</v>
      </c>
      <c r="C90" s="330"/>
      <c r="D90" s="330"/>
      <c r="E90" s="330"/>
      <c r="F90" s="32"/>
      <c r="G90" s="31"/>
      <c r="H90" s="31"/>
      <c r="I90" s="266">
        <v>24500</v>
      </c>
    </row>
    <row r="91" spans="2:9" s="28" customFormat="1" ht="26.25" customHeight="1">
      <c r="B91" s="331" t="s">
        <v>177</v>
      </c>
      <c r="C91" s="331"/>
      <c r="D91" s="331"/>
      <c r="E91" s="331"/>
      <c r="F91" s="32"/>
      <c r="G91" s="31"/>
      <c r="H91" s="31"/>
      <c r="I91" s="311">
        <v>36803</v>
      </c>
    </row>
    <row r="92" spans="2:9" s="28" customFormat="1" ht="12.75">
      <c r="B92" s="265" t="s">
        <v>171</v>
      </c>
      <c r="C92" s="1"/>
      <c r="D92" s="1"/>
      <c r="E92" s="1"/>
      <c r="F92" s="32"/>
      <c r="G92" s="31"/>
      <c r="H92" s="31"/>
      <c r="I92" s="28">
        <f>I148</f>
        <v>179856</v>
      </c>
    </row>
    <row r="93" spans="2:9" s="28" customFormat="1" ht="13.5">
      <c r="B93" s="31"/>
      <c r="C93" s="31"/>
      <c r="D93" s="31"/>
      <c r="E93" s="31"/>
      <c r="F93" s="32"/>
      <c r="G93" s="31"/>
      <c r="H93" s="31"/>
      <c r="I93" s="33"/>
    </row>
    <row r="94" spans="1:10" ht="14.25" thickBot="1">
      <c r="A94" s="119"/>
      <c r="B94" s="38"/>
      <c r="C94" s="38"/>
      <c r="D94" s="38"/>
      <c r="E94" s="38"/>
      <c r="F94" s="120"/>
      <c r="G94" s="38"/>
      <c r="H94" s="38"/>
      <c r="I94" s="121"/>
      <c r="J94" s="119"/>
    </row>
    <row r="95" spans="1:9" s="8" customFormat="1" ht="15" customHeight="1">
      <c r="A95" s="325" t="s">
        <v>8</v>
      </c>
      <c r="B95" s="325"/>
      <c r="C95" s="325"/>
      <c r="D95" s="325"/>
      <c r="E95" s="325"/>
      <c r="F95" s="325"/>
      <c r="G95" s="189" t="s">
        <v>5</v>
      </c>
      <c r="H95" s="190" t="s">
        <v>6</v>
      </c>
      <c r="I95" s="191" t="s">
        <v>7</v>
      </c>
    </row>
    <row r="96" spans="1:10" ht="15.75" customHeight="1" thickBot="1">
      <c r="A96" s="326"/>
      <c r="B96" s="326"/>
      <c r="C96" s="326"/>
      <c r="D96" s="326"/>
      <c r="E96" s="326"/>
      <c r="F96" s="326"/>
      <c r="G96" s="192">
        <f>G98+G128+G146+G141+G138</f>
        <v>5434442.8104</v>
      </c>
      <c r="H96" s="192">
        <f>H98+H128+H146+H141+H138</f>
        <v>1254034.7128</v>
      </c>
      <c r="I96" s="192">
        <f>I98+I128+I146+I141+I138+1</f>
        <v>6688478.1129465755</v>
      </c>
      <c r="J96" s="31"/>
    </row>
    <row r="97" ht="12.75">
      <c r="J97" s="31"/>
    </row>
    <row r="98" spans="2:9" s="8" customFormat="1" ht="12.75">
      <c r="B98" s="25" t="s">
        <v>9</v>
      </c>
      <c r="C98" s="25"/>
      <c r="D98" s="25"/>
      <c r="E98" s="25"/>
      <c r="F98" s="26"/>
      <c r="G98" s="25">
        <f>G99+G113+G118+G122+G126</f>
        <v>4984905.1581999995</v>
      </c>
      <c r="H98" s="25">
        <f>H99+H113+H118+H122+H126+1</f>
        <v>1208287.36455</v>
      </c>
      <c r="I98" s="25">
        <f>I99+I113+I118+I122+I126</f>
        <v>6193192.52275</v>
      </c>
    </row>
    <row r="99" spans="3:9" s="8" customFormat="1" ht="12.75">
      <c r="C99" s="8" t="s">
        <v>10</v>
      </c>
      <c r="F99" s="14"/>
      <c r="G99" s="8">
        <f>G100+G107+G108+G109+G110+G111</f>
        <v>230971.7</v>
      </c>
      <c r="H99" s="8">
        <f>H100+H107+H108+H109+H110+H111</f>
        <v>19803.5</v>
      </c>
      <c r="I99" s="8">
        <f>I100+I107+I108+I109+I110+I111+1</f>
        <v>250776.2</v>
      </c>
    </row>
    <row r="100" spans="3:9" s="8" customFormat="1" ht="13.5">
      <c r="C100" s="27" t="s">
        <v>11</v>
      </c>
      <c r="D100" s="22"/>
      <c r="E100" s="22"/>
      <c r="F100" s="14"/>
      <c r="G100" s="27">
        <f>SUM(G101:G105)</f>
        <v>37035.7</v>
      </c>
      <c r="H100" s="27">
        <f>H101</f>
        <v>0</v>
      </c>
      <c r="I100" s="27">
        <f aca="true" t="shared" si="0" ref="I100:I105">G100+H100</f>
        <v>37035.7</v>
      </c>
    </row>
    <row r="101" spans="4:9" ht="12.75">
      <c r="D101" s="1" t="s">
        <v>12</v>
      </c>
      <c r="F101" s="2" t="s">
        <v>137</v>
      </c>
      <c r="G101" s="1">
        <f>Munka1!F15/1000</f>
        <v>5600</v>
      </c>
      <c r="H101" s="1">
        <v>0</v>
      </c>
      <c r="I101" s="1">
        <f t="shared" si="0"/>
        <v>5600</v>
      </c>
    </row>
    <row r="102" spans="4:9" ht="12.75">
      <c r="D102" s="1" t="s">
        <v>104</v>
      </c>
      <c r="G102" s="1">
        <f>Munka1!F11/1000</f>
        <v>11604</v>
      </c>
      <c r="H102" s="1">
        <v>0</v>
      </c>
      <c r="I102" s="1">
        <f t="shared" si="0"/>
        <v>11604</v>
      </c>
    </row>
    <row r="103" spans="4:9" ht="12.75">
      <c r="D103" s="1" t="s">
        <v>108</v>
      </c>
      <c r="G103" s="1">
        <f>Munka1!F12/1000</f>
        <v>4747.7</v>
      </c>
      <c r="H103" s="1">
        <v>0</v>
      </c>
      <c r="I103" s="1">
        <f t="shared" si="0"/>
        <v>4747.7</v>
      </c>
    </row>
    <row r="104" spans="4:9" ht="12.75">
      <c r="D104" s="1" t="s">
        <v>109</v>
      </c>
      <c r="G104" s="1">
        <f>Munka1!F13/1000</f>
        <v>6129.9</v>
      </c>
      <c r="H104" s="1">
        <v>0</v>
      </c>
      <c r="I104" s="1">
        <f t="shared" si="0"/>
        <v>6129.9</v>
      </c>
    </row>
    <row r="105" spans="4:9" ht="12.75">
      <c r="D105" s="1" t="s">
        <v>110</v>
      </c>
      <c r="G105" s="1">
        <f>Munka1!F14/1000</f>
        <v>8954.1</v>
      </c>
      <c r="H105" s="1">
        <v>0</v>
      </c>
      <c r="I105" s="1">
        <f t="shared" si="0"/>
        <v>8954.1</v>
      </c>
    </row>
    <row r="107" spans="3:9" ht="12.75">
      <c r="C107" s="27" t="s">
        <v>200</v>
      </c>
      <c r="D107" s="27"/>
      <c r="E107" s="27"/>
      <c r="F107" s="233"/>
      <c r="G107" s="27">
        <v>36722</v>
      </c>
      <c r="H107" s="27">
        <v>0</v>
      </c>
      <c r="I107" s="27">
        <f>G107+H107</f>
        <v>36722</v>
      </c>
    </row>
    <row r="108" spans="3:9" ht="12.75">
      <c r="C108" s="27" t="s">
        <v>130</v>
      </c>
      <c r="D108" s="27"/>
      <c r="E108" s="27"/>
      <c r="F108" s="27"/>
      <c r="G108" s="27">
        <v>28000</v>
      </c>
      <c r="H108" s="27">
        <v>0</v>
      </c>
      <c r="I108" s="27">
        <f>G108</f>
        <v>28000</v>
      </c>
    </row>
    <row r="109" spans="3:9" ht="12.75">
      <c r="C109" s="27" t="s">
        <v>153</v>
      </c>
      <c r="D109" s="27"/>
      <c r="E109" s="27"/>
      <c r="F109" s="27"/>
      <c r="G109" s="27">
        <v>50000</v>
      </c>
      <c r="H109" s="27">
        <v>0</v>
      </c>
      <c r="I109" s="27">
        <f>G109</f>
        <v>50000</v>
      </c>
    </row>
    <row r="110" spans="3:9" ht="12.75">
      <c r="C110" s="27" t="s">
        <v>161</v>
      </c>
      <c r="D110" s="27"/>
      <c r="E110" s="27"/>
      <c r="F110" s="27"/>
      <c r="G110" s="27">
        <f>61029-4000-8000+296</f>
        <v>49325</v>
      </c>
      <c r="H110" s="27">
        <f>G110*0.25</f>
        <v>12331.25</v>
      </c>
      <c r="I110" s="27">
        <f>G110+H110</f>
        <v>61656.25</v>
      </c>
    </row>
    <row r="111" spans="3:9" ht="12.75">
      <c r="C111" s="27" t="s">
        <v>162</v>
      </c>
      <c r="D111" s="27"/>
      <c r="E111" s="27"/>
      <c r="F111" s="27"/>
      <c r="G111" s="27">
        <f>15000+14889</f>
        <v>29889</v>
      </c>
      <c r="H111" s="27">
        <f>G111*0.25</f>
        <v>7472.25</v>
      </c>
      <c r="I111" s="27">
        <f>G111+H111</f>
        <v>37361.25</v>
      </c>
    </row>
    <row r="112" spans="3:9" ht="12.75">
      <c r="C112" s="27"/>
      <c r="D112" s="27"/>
      <c r="E112" s="27"/>
      <c r="F112" s="233"/>
      <c r="G112" s="27"/>
      <c r="H112" s="27"/>
      <c r="I112" s="27"/>
    </row>
    <row r="113" spans="3:9" s="8" customFormat="1" ht="12.75">
      <c r="C113" s="31" t="s">
        <v>142</v>
      </c>
      <c r="D113" s="31"/>
      <c r="E113" s="31"/>
      <c r="F113" s="32"/>
      <c r="G113" s="31">
        <f>G114+G116+G115</f>
        <v>42315.3582</v>
      </c>
      <c r="H113" s="31">
        <f>H114+H116+H115</f>
        <v>10578.33955</v>
      </c>
      <c r="I113" s="31">
        <f>G113+H113</f>
        <v>52893.69775000001</v>
      </c>
    </row>
    <row r="114" spans="3:9" ht="12.75">
      <c r="C114" s="35" t="s">
        <v>143</v>
      </c>
      <c r="D114" s="35"/>
      <c r="E114" s="35"/>
      <c r="F114" s="118"/>
      <c r="G114" s="28">
        <f>ROUND(0.8*I114,0)</f>
        <v>28678</v>
      </c>
      <c r="H114" s="28">
        <f>I114-G114</f>
        <v>7169</v>
      </c>
      <c r="I114" s="28">
        <f>'Felhalmozási kiadások keop'!E12/1000</f>
        <v>35847</v>
      </c>
    </row>
    <row r="115" spans="3:9" ht="12.75">
      <c r="C115" s="35" t="s">
        <v>144</v>
      </c>
      <c r="D115" s="35"/>
      <c r="E115" s="35"/>
      <c r="F115" s="118"/>
      <c r="G115" s="28">
        <f>'Felhalmozási kiadások keop'!H22/1000/1.25</f>
        <v>6937.3432</v>
      </c>
      <c r="H115" s="28">
        <f>G115*0.25</f>
        <v>1734.3358</v>
      </c>
      <c r="I115" s="28">
        <f>G115+H115</f>
        <v>8671.679</v>
      </c>
    </row>
    <row r="116" spans="3:9" ht="12.75">
      <c r="C116" s="35" t="s">
        <v>145</v>
      </c>
      <c r="D116" s="28"/>
      <c r="E116" s="28"/>
      <c r="F116" s="118"/>
      <c r="G116" s="28">
        <f>'Felhalmozási kiadások keop'!H27/1000+6400-75</f>
        <v>6700.015</v>
      </c>
      <c r="H116" s="28">
        <f>G116*0.25</f>
        <v>1675.00375</v>
      </c>
      <c r="I116" s="28">
        <f>G116+H116</f>
        <v>8375.018750000001</v>
      </c>
    </row>
    <row r="117" spans="3:9" ht="12.75">
      <c r="C117" s="35"/>
      <c r="D117" s="28"/>
      <c r="E117" s="28"/>
      <c r="F117" s="118"/>
      <c r="G117" s="28"/>
      <c r="H117" s="28"/>
      <c r="I117" s="28"/>
    </row>
    <row r="118" spans="3:9" ht="12.75">
      <c r="C118" s="8" t="s">
        <v>122</v>
      </c>
      <c r="D118" s="8"/>
      <c r="E118" s="8"/>
      <c r="G118" s="8">
        <f>SUM(G119:G120)</f>
        <v>3794418.1</v>
      </c>
      <c r="H118" s="8">
        <f>SUM(H119:H120)</f>
        <v>948604.525</v>
      </c>
      <c r="I118" s="8">
        <f>SUM(I119:I120)</f>
        <v>4743022.625</v>
      </c>
    </row>
    <row r="119" spans="3:9" ht="12.75">
      <c r="C119" s="35" t="s">
        <v>123</v>
      </c>
      <c r="D119" s="35"/>
      <c r="E119" s="35"/>
      <c r="G119" s="1">
        <f>Munka1!B19/1000</f>
        <v>3794418.1</v>
      </c>
      <c r="H119" s="1">
        <f>G119*0.25</f>
        <v>948604.525</v>
      </c>
      <c r="I119" s="1">
        <f>G119+H119</f>
        <v>4743022.625</v>
      </c>
    </row>
    <row r="120" spans="3:9" ht="12.75">
      <c r="C120" s="35" t="s">
        <v>124</v>
      </c>
      <c r="D120" s="28"/>
      <c r="E120" s="28"/>
      <c r="G120" s="1">
        <v>0</v>
      </c>
      <c r="H120" s="1">
        <v>0</v>
      </c>
      <c r="I120" s="1">
        <v>0</v>
      </c>
    </row>
    <row r="121" spans="3:5" ht="12.75">
      <c r="C121" s="35"/>
      <c r="D121" s="28"/>
      <c r="E121" s="28"/>
    </row>
    <row r="122" spans="3:9" ht="12.75">
      <c r="C122" s="31" t="s">
        <v>146</v>
      </c>
      <c r="D122" s="31"/>
      <c r="E122" s="31"/>
      <c r="G122" s="8">
        <f>SUM(G123:G124)</f>
        <v>912000</v>
      </c>
      <c r="H122" s="8">
        <f>SUM(H123:H124)</f>
        <v>228000</v>
      </c>
      <c r="I122" s="8">
        <f>SUM(I123:I124)</f>
        <v>1140000</v>
      </c>
    </row>
    <row r="123" spans="3:9" ht="12.75">
      <c r="C123" s="35" t="s">
        <v>147</v>
      </c>
      <c r="D123" s="35"/>
      <c r="E123" s="35"/>
      <c r="G123" s="1">
        <f>I123/1.25</f>
        <v>912000</v>
      </c>
      <c r="H123" s="1">
        <f>G123*0.25</f>
        <v>228000</v>
      </c>
      <c r="I123" s="1">
        <f>3800000000/1000*0.3</f>
        <v>1140000</v>
      </c>
    </row>
    <row r="124" spans="3:9" ht="12.75">
      <c r="C124" s="35" t="s">
        <v>148</v>
      </c>
      <c r="D124" s="28"/>
      <c r="E124" s="28"/>
      <c r="G124" s="1">
        <v>0</v>
      </c>
      <c r="H124" s="1">
        <v>0</v>
      </c>
      <c r="I124" s="1">
        <v>0</v>
      </c>
    </row>
    <row r="125" spans="3:5" ht="12.75">
      <c r="C125" s="35"/>
      <c r="D125" s="28"/>
      <c r="E125" s="28"/>
    </row>
    <row r="126" spans="3:9" ht="12.75">
      <c r="C126" s="35" t="s">
        <v>176</v>
      </c>
      <c r="D126" s="28"/>
      <c r="E126" s="28"/>
      <c r="G126" s="8">
        <f>5200</f>
        <v>5200</v>
      </c>
      <c r="H126" s="8">
        <f>G126*0.25</f>
        <v>1300</v>
      </c>
      <c r="I126" s="8">
        <f>G126+H126</f>
        <v>6500</v>
      </c>
    </row>
    <row r="127" spans="3:5" ht="12.75">
      <c r="C127" s="35"/>
      <c r="D127" s="28"/>
      <c r="E127" s="28"/>
    </row>
    <row r="128" spans="1:15" ht="12.75">
      <c r="A128" s="8"/>
      <c r="B128" s="25" t="s">
        <v>13</v>
      </c>
      <c r="C128" s="25"/>
      <c r="D128" s="25"/>
      <c r="E128" s="25"/>
      <c r="F128" s="26"/>
      <c r="G128" s="25">
        <f>G129+G134</f>
        <v>29626.4522</v>
      </c>
      <c r="H128" s="25">
        <f>H129+H134</f>
        <v>3225.54825</v>
      </c>
      <c r="I128" s="25">
        <f>I129+I134</f>
        <v>32852.00045</v>
      </c>
      <c r="J128" s="8"/>
      <c r="K128" s="8"/>
      <c r="L128" s="8"/>
      <c r="M128" s="8"/>
      <c r="N128" s="8"/>
      <c r="O128" s="8"/>
    </row>
    <row r="129" spans="4:9" s="8" customFormat="1" ht="12.75">
      <c r="D129" s="8" t="s">
        <v>121</v>
      </c>
      <c r="F129" s="14"/>
      <c r="G129" s="8">
        <f>G130+G132+G133</f>
        <v>16262</v>
      </c>
      <c r="H129" s="8">
        <f>H130+H132+H133</f>
        <v>0</v>
      </c>
      <c r="I129" s="8">
        <f>G129+H129</f>
        <v>16262</v>
      </c>
    </row>
    <row r="130" spans="1:15" s="8" customFormat="1" ht="12.75">
      <c r="A130" s="1"/>
      <c r="B130" s="1"/>
      <c r="C130" s="1"/>
      <c r="E130" s="1" t="s">
        <v>121</v>
      </c>
      <c r="F130" s="2"/>
      <c r="G130" s="1">
        <f>ROUND('Személyi jellegű kiadások '!O25/1000,0)</f>
        <v>12540</v>
      </c>
      <c r="H130" s="1">
        <v>0</v>
      </c>
      <c r="I130" s="1">
        <f>G130+H130</f>
        <v>12540</v>
      </c>
      <c r="J130" s="1"/>
      <c r="K130" s="1"/>
      <c r="L130" s="1"/>
      <c r="M130" s="1"/>
      <c r="N130" s="1"/>
      <c r="O130" s="1"/>
    </row>
    <row r="131" spans="1:15" s="8" customFormat="1" ht="12.75">
      <c r="A131" s="1"/>
      <c r="B131" s="1"/>
      <c r="C131" s="1"/>
      <c r="E131" s="116" t="s">
        <v>64</v>
      </c>
      <c r="F131" s="117"/>
      <c r="G131" s="29">
        <f>ROUND('Személyi jellegű kiadások '!O23/1000,0)</f>
        <v>600</v>
      </c>
      <c r="H131" s="29">
        <v>0</v>
      </c>
      <c r="I131" s="29">
        <f>G131+H131</f>
        <v>600</v>
      </c>
      <c r="J131" s="1"/>
      <c r="K131" s="1"/>
      <c r="L131" s="1"/>
      <c r="M131" s="1"/>
      <c r="N131" s="1"/>
      <c r="O131" s="1"/>
    </row>
    <row r="132" spans="1:15" s="8" customFormat="1" ht="12.75">
      <c r="A132" s="1"/>
      <c r="B132" s="1"/>
      <c r="C132" s="1"/>
      <c r="E132" s="1" t="s">
        <v>199</v>
      </c>
      <c r="F132" s="2"/>
      <c r="G132" s="1">
        <f>ROUND(('Személyi jellegű kiadások '!O30)/1000,0)</f>
        <v>3386</v>
      </c>
      <c r="H132" s="1">
        <v>0</v>
      </c>
      <c r="I132" s="1">
        <f>G132+H132</f>
        <v>3386</v>
      </c>
      <c r="J132" s="1"/>
      <c r="K132" s="1"/>
      <c r="L132" s="1"/>
      <c r="M132" s="1"/>
      <c r="N132" s="1"/>
      <c r="O132" s="1"/>
    </row>
    <row r="133" spans="1:15" s="8" customFormat="1" ht="12.75">
      <c r="A133" s="1"/>
      <c r="B133" s="1"/>
      <c r="C133" s="1"/>
      <c r="E133" s="1" t="s">
        <v>84</v>
      </c>
      <c r="F133" s="2"/>
      <c r="G133" s="1">
        <f>ROUND('Személyi jellegű kiadások '!O35/1000,0)</f>
        <v>336</v>
      </c>
      <c r="H133" s="1">
        <v>0</v>
      </c>
      <c r="I133" s="1">
        <f>G133+H133</f>
        <v>336</v>
      </c>
      <c r="J133" s="1"/>
      <c r="K133" s="1"/>
      <c r="L133" s="1"/>
      <c r="M133" s="1"/>
      <c r="N133" s="1"/>
      <c r="O133" s="1"/>
    </row>
    <row r="134" spans="1:15" ht="12.75">
      <c r="A134" s="8"/>
      <c r="B134" s="8"/>
      <c r="C134" s="8"/>
      <c r="D134" s="8" t="s">
        <v>14</v>
      </c>
      <c r="E134" s="8"/>
      <c r="F134" s="14"/>
      <c r="G134" s="8">
        <v>13364.4522</v>
      </c>
      <c r="H134" s="8">
        <v>3225.54825</v>
      </c>
      <c r="I134" s="8">
        <v>16590.00045</v>
      </c>
      <c r="J134" s="8"/>
      <c r="K134" s="8"/>
      <c r="L134" s="8"/>
      <c r="M134" s="8"/>
      <c r="N134" s="8"/>
      <c r="O134" s="8"/>
    </row>
    <row r="135" spans="5:9" ht="12.75">
      <c r="E135" s="1" t="s">
        <v>85</v>
      </c>
      <c r="G135" s="1">
        <v>10902.193</v>
      </c>
      <c r="H135" s="1">
        <v>2725.54825</v>
      </c>
      <c r="I135" s="1">
        <v>13627.74125</v>
      </c>
    </row>
    <row r="136" spans="5:9" ht="12.75">
      <c r="E136" s="1" t="s">
        <v>86</v>
      </c>
      <c r="G136" s="1">
        <v>2462.2591999999995</v>
      </c>
      <c r="H136" s="1">
        <v>500</v>
      </c>
      <c r="I136" s="1">
        <v>2962.2591999999995</v>
      </c>
    </row>
    <row r="137" spans="1:15" ht="12.75">
      <c r="A137" s="8"/>
      <c r="B137" s="31"/>
      <c r="J137" s="8"/>
      <c r="K137" s="8"/>
      <c r="L137" s="8"/>
      <c r="M137" s="8"/>
      <c r="N137" s="8"/>
      <c r="O137" s="8"/>
    </row>
    <row r="138" spans="1:15" ht="12.75">
      <c r="A138" s="8"/>
      <c r="B138" s="31"/>
      <c r="D138" s="8" t="s">
        <v>196</v>
      </c>
      <c r="E138" s="8"/>
      <c r="F138" s="1"/>
      <c r="G138" s="8">
        <f>G139</f>
        <v>6000</v>
      </c>
      <c r="H138" s="8">
        <f>H139</f>
        <v>0</v>
      </c>
      <c r="I138" s="8">
        <f>I139</f>
        <v>6000</v>
      </c>
      <c r="J138" s="8"/>
      <c r="K138" s="8"/>
      <c r="L138" s="8"/>
      <c r="M138" s="8"/>
      <c r="N138" s="8"/>
      <c r="O138" s="8"/>
    </row>
    <row r="139" spans="1:15" ht="12.75">
      <c r="A139" s="8"/>
      <c r="B139" s="31"/>
      <c r="E139" s="1" t="s">
        <v>175</v>
      </c>
      <c r="F139" s="8"/>
      <c r="G139" s="1">
        <v>6000</v>
      </c>
      <c r="H139" s="1">
        <v>0</v>
      </c>
      <c r="I139" s="1">
        <f>G139+H139</f>
        <v>6000</v>
      </c>
      <c r="J139" s="8"/>
      <c r="K139" s="8"/>
      <c r="L139" s="8"/>
      <c r="M139" s="8"/>
      <c r="N139" s="8"/>
      <c r="O139" s="8"/>
    </row>
    <row r="140" spans="1:15" ht="12.75">
      <c r="A140" s="8"/>
      <c r="B140" s="31"/>
      <c r="E140" s="8"/>
      <c r="F140" s="8"/>
      <c r="H140" s="28"/>
      <c r="J140" s="8"/>
      <c r="K140" s="8"/>
      <c r="L140" s="8"/>
      <c r="M140" s="8"/>
      <c r="N140" s="8"/>
      <c r="O140" s="8"/>
    </row>
    <row r="141" spans="2:9" ht="12.75">
      <c r="B141" s="8" t="s">
        <v>114</v>
      </c>
      <c r="G141" s="8">
        <f>SUM(G142:G144)</f>
        <v>172753.2</v>
      </c>
      <c r="H141" s="8">
        <f>SUM(H142:H144)</f>
        <v>42521.8</v>
      </c>
      <c r="I141" s="8">
        <f>SUM(I142:I144)</f>
        <v>215274.58974657534</v>
      </c>
    </row>
    <row r="142" spans="4:9" ht="12.75">
      <c r="D142" s="1" t="s">
        <v>158</v>
      </c>
      <c r="G142" s="1">
        <f>Munka1!B2/1.25</f>
        <v>65287.2</v>
      </c>
      <c r="H142" s="1">
        <f>G142*0.25</f>
        <v>16321.8</v>
      </c>
      <c r="I142" s="1">
        <f>G142+H142</f>
        <v>81609</v>
      </c>
    </row>
    <row r="143" spans="1:15" ht="12.75">
      <c r="A143" s="11"/>
      <c r="D143" s="1" t="s">
        <v>98</v>
      </c>
      <c r="G143" s="1">
        <v>2665</v>
      </c>
      <c r="H143" s="1">
        <v>0</v>
      </c>
      <c r="I143" s="1">
        <f>Munka1!B3</f>
        <v>2664.5897465753424</v>
      </c>
      <c r="J143" s="11"/>
      <c r="K143" s="11"/>
      <c r="L143" s="11"/>
      <c r="M143" s="11"/>
      <c r="N143" s="11"/>
      <c r="O143" s="11"/>
    </row>
    <row r="144" spans="4:9" ht="12.75">
      <c r="D144" s="1" t="s">
        <v>159</v>
      </c>
      <c r="G144" s="1">
        <v>104801</v>
      </c>
      <c r="H144" s="1">
        <v>26200</v>
      </c>
      <c r="I144" s="1">
        <f>G144+H144</f>
        <v>131001</v>
      </c>
    </row>
    <row r="146" spans="1:15" s="11" customFormat="1" ht="12.75">
      <c r="A146" s="19"/>
      <c r="B146" s="8" t="s">
        <v>160</v>
      </c>
      <c r="C146" s="8"/>
      <c r="D146" s="9"/>
      <c r="E146" s="9"/>
      <c r="F146" s="14"/>
      <c r="G146" s="8">
        <f>G147+G148</f>
        <v>241158</v>
      </c>
      <c r="H146" s="8">
        <f>H147+H148</f>
        <v>0</v>
      </c>
      <c r="I146" s="8">
        <f>I147+I148</f>
        <v>241158</v>
      </c>
      <c r="J146" s="1"/>
      <c r="K146" s="1"/>
      <c r="L146" s="1"/>
      <c r="M146" s="1"/>
      <c r="N146" s="1"/>
      <c r="O146" s="1"/>
    </row>
    <row r="147" spans="1:15" s="11" customFormat="1" ht="25.5" customHeight="1">
      <c r="A147" s="19"/>
      <c r="B147" s="329" t="s">
        <v>172</v>
      </c>
      <c r="C147" s="329"/>
      <c r="D147" s="329"/>
      <c r="E147" s="329"/>
      <c r="F147" s="14"/>
      <c r="G147" s="264">
        <f>6342+54960</f>
        <v>61302</v>
      </c>
      <c r="H147" s="8">
        <v>0</v>
      </c>
      <c r="I147" s="1">
        <f>G147+H147</f>
        <v>61302</v>
      </c>
      <c r="J147" s="1"/>
      <c r="K147" s="1"/>
      <c r="L147" s="1"/>
      <c r="M147" s="1"/>
      <c r="N147" s="1"/>
      <c r="O147" s="1"/>
    </row>
    <row r="148" spans="1:9" ht="12.75">
      <c r="A148" s="19"/>
      <c r="B148" s="265" t="s">
        <v>171</v>
      </c>
      <c r="G148" s="264">
        <v>179856</v>
      </c>
      <c r="H148" s="1">
        <v>0</v>
      </c>
      <c r="I148" s="1">
        <f>G148+H148</f>
        <v>179856</v>
      </c>
    </row>
    <row r="149" ht="12.75">
      <c r="A149" s="19"/>
    </row>
    <row r="151" spans="1:9" ht="12.75">
      <c r="A151" s="198"/>
      <c r="I151" s="8"/>
    </row>
    <row r="152" spans="1:9" ht="12.75">
      <c r="A152" s="198"/>
      <c r="H152" s="8"/>
      <c r="I152" s="8"/>
    </row>
    <row r="153" ht="12.75">
      <c r="A153" s="198"/>
    </row>
    <row r="154" ht="12.75">
      <c r="A154" s="198"/>
    </row>
    <row r="155" ht="12.75">
      <c r="A155" s="198"/>
    </row>
    <row r="156" ht="12.75">
      <c r="A156" s="198"/>
    </row>
    <row r="157" ht="12.75">
      <c r="A157" s="198"/>
    </row>
    <row r="158" ht="15" customHeight="1">
      <c r="A158" s="197"/>
    </row>
    <row r="159" ht="12.75">
      <c r="A159" s="197"/>
    </row>
    <row r="160" ht="12.75">
      <c r="A160" s="197"/>
    </row>
    <row r="161" ht="27.75" customHeight="1">
      <c r="A161" s="198"/>
    </row>
    <row r="162" ht="12.75">
      <c r="A162" s="11"/>
    </row>
  </sheetData>
  <sheetProtection/>
  <mergeCells count="8">
    <mergeCell ref="A95:F96"/>
    <mergeCell ref="A4:F5"/>
    <mergeCell ref="B147:E147"/>
    <mergeCell ref="B89:E89"/>
    <mergeCell ref="B90:E90"/>
    <mergeCell ref="B91:E91"/>
    <mergeCell ref="B43:E43"/>
    <mergeCell ref="B44:E4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B35" sqref="B35"/>
    </sheetView>
  </sheetViews>
  <sheetFormatPr defaultColWidth="9.140625" defaultRowHeight="15"/>
  <cols>
    <col min="1" max="1" width="40.421875" style="0" customWidth="1"/>
    <col min="2" max="5" width="20.00390625" style="202" customWidth="1"/>
    <col min="6" max="6" width="9.8515625" style="202" bestFit="1" customWidth="1"/>
    <col min="7" max="16" width="9.140625" style="202" customWidth="1"/>
  </cols>
  <sheetData>
    <row r="1" spans="4:5" ht="15">
      <c r="D1" s="202">
        <v>3</v>
      </c>
      <c r="E1" s="202" t="s">
        <v>156</v>
      </c>
    </row>
    <row r="2" spans="1:5" ht="15">
      <c r="A2" t="s">
        <v>101</v>
      </c>
      <c r="B2" s="202">
        <v>81609</v>
      </c>
      <c r="D2" s="202">
        <f>7*30</f>
        <v>210</v>
      </c>
      <c r="E2" s="202" t="s">
        <v>155</v>
      </c>
    </row>
    <row r="3" spans="1:5" ht="15">
      <c r="A3" t="s">
        <v>154</v>
      </c>
      <c r="B3" s="202">
        <f>B2*0.0525*227/365</f>
        <v>2664.5897465753424</v>
      </c>
      <c r="C3" s="258"/>
      <c r="D3" s="211">
        <v>14</v>
      </c>
      <c r="E3" s="211" t="s">
        <v>157</v>
      </c>
    </row>
    <row r="4" spans="1:4" ht="15">
      <c r="A4" s="210" t="s">
        <v>102</v>
      </c>
      <c r="B4" s="211">
        <f>SUM(B2:B3)</f>
        <v>84273.58974657534</v>
      </c>
      <c r="C4" s="211"/>
      <c r="D4" s="202">
        <f>SUM(D1:D3)</f>
        <v>227</v>
      </c>
    </row>
    <row r="5" spans="1:5" ht="15">
      <c r="A5" t="s">
        <v>100</v>
      </c>
      <c r="B5" s="202">
        <f>490398</f>
        <v>490398</v>
      </c>
      <c r="C5" s="202" t="s">
        <v>194</v>
      </c>
      <c r="D5" s="202">
        <f>B5/12*6</f>
        <v>245199</v>
      </c>
      <c r="E5" s="202" t="s">
        <v>193</v>
      </c>
    </row>
    <row r="6" spans="1:4" ht="15">
      <c r="A6" t="s">
        <v>6</v>
      </c>
      <c r="B6" s="202">
        <f>B5*0.25</f>
        <v>122599.5</v>
      </c>
      <c r="D6" s="202">
        <f>D5*0.25+2</f>
        <v>61301.75</v>
      </c>
    </row>
    <row r="7" spans="1:5" ht="15">
      <c r="A7" s="210" t="s">
        <v>103</v>
      </c>
      <c r="B7" s="211">
        <f>SUM(B5:B6)</f>
        <v>612997.5</v>
      </c>
      <c r="C7" s="211"/>
      <c r="D7" s="211">
        <f>SUM(D5:D6)</f>
        <v>306500.75</v>
      </c>
      <c r="E7" s="211"/>
    </row>
    <row r="9" ht="15.75" thickBot="1"/>
    <row r="10" spans="1:6" ht="15.75" thickTop="1">
      <c r="A10" s="212" t="s">
        <v>105</v>
      </c>
      <c r="B10" s="213" t="s">
        <v>106</v>
      </c>
      <c r="C10" s="213" t="s">
        <v>112</v>
      </c>
      <c r="D10" s="213" t="s">
        <v>113</v>
      </c>
      <c r="E10" s="213" t="s">
        <v>111</v>
      </c>
      <c r="F10" s="214" t="s">
        <v>107</v>
      </c>
    </row>
    <row r="11" spans="1:6" ht="15">
      <c r="A11" s="215" t="s">
        <v>104</v>
      </c>
      <c r="B11" s="218">
        <v>116040000</v>
      </c>
      <c r="C11" s="218"/>
      <c r="D11" s="218"/>
      <c r="E11" s="218"/>
      <c r="F11" s="219">
        <f>B11/10</f>
        <v>11604000</v>
      </c>
    </row>
    <row r="12" spans="1:6" ht="15">
      <c r="A12" s="216" t="s">
        <v>108</v>
      </c>
      <c r="B12" s="220">
        <v>62477000</v>
      </c>
      <c r="C12" s="220">
        <v>15000000</v>
      </c>
      <c r="D12" s="220"/>
      <c r="E12" s="220">
        <f>B12-C12</f>
        <v>47477000</v>
      </c>
      <c r="F12" s="219">
        <f>E12/10</f>
        <v>4747700</v>
      </c>
    </row>
    <row r="13" spans="1:6" ht="15">
      <c r="A13" s="216" t="s">
        <v>109</v>
      </c>
      <c r="B13" s="220">
        <v>61299000</v>
      </c>
      <c r="C13" s="220"/>
      <c r="D13" s="220"/>
      <c r="E13" s="220"/>
      <c r="F13" s="219">
        <f>B13/10</f>
        <v>6129900</v>
      </c>
    </row>
    <row r="14" spans="1:6" ht="15">
      <c r="A14" s="216" t="s">
        <v>110</v>
      </c>
      <c r="B14" s="220">
        <v>89541000</v>
      </c>
      <c r="C14" s="220"/>
      <c r="D14" s="220"/>
      <c r="E14" s="220"/>
      <c r="F14" s="219">
        <f>B14/10</f>
        <v>8954100</v>
      </c>
    </row>
    <row r="15" spans="1:6" ht="15.75" thickBot="1">
      <c r="A15" s="217" t="s">
        <v>12</v>
      </c>
      <c r="B15" s="250">
        <f>(5600000*3)+5600000/2*3</f>
        <v>25200000</v>
      </c>
      <c r="C15" s="250"/>
      <c r="D15" s="250"/>
      <c r="E15" s="250"/>
      <c r="F15" s="251">
        <f>5600000</f>
        <v>5600000</v>
      </c>
    </row>
    <row r="16" spans="1:6" ht="16.5" thickBot="1" thickTop="1">
      <c r="A16" s="217" t="s">
        <v>12</v>
      </c>
      <c r="B16" s="221">
        <v>40000000</v>
      </c>
      <c r="C16" s="221">
        <v>30000000</v>
      </c>
      <c r="D16" s="221">
        <v>10000000</v>
      </c>
      <c r="E16" s="221">
        <f>B16-C16-D16</f>
        <v>0</v>
      </c>
      <c r="F16" s="222">
        <v>0</v>
      </c>
    </row>
    <row r="17" ht="16.5" thickBot="1" thickTop="1"/>
    <row r="18" spans="1:5" ht="15.75" thickTop="1">
      <c r="A18" s="232" t="s">
        <v>115</v>
      </c>
      <c r="B18" s="213" t="s">
        <v>117</v>
      </c>
      <c r="C18" s="213" t="s">
        <v>120</v>
      </c>
      <c r="D18" s="213" t="s">
        <v>118</v>
      </c>
      <c r="E18" s="214" t="s">
        <v>119</v>
      </c>
    </row>
    <row r="19" spans="1:5" ht="15">
      <c r="A19" s="223" t="s">
        <v>116</v>
      </c>
      <c r="B19" s="224">
        <v>3794418100</v>
      </c>
      <c r="C19" s="225">
        <v>0.25</v>
      </c>
      <c r="D19" s="224">
        <f>B19*C19</f>
        <v>948604525</v>
      </c>
      <c r="E19" s="226">
        <f>B19+D19</f>
        <v>4743022625</v>
      </c>
    </row>
    <row r="20" spans="1:5" ht="15">
      <c r="A20" s="223" t="s">
        <v>3</v>
      </c>
      <c r="B20" s="224">
        <f>B19*C20</f>
        <v>3074996428.2400002</v>
      </c>
      <c r="C20" s="227">
        <v>0.8104</v>
      </c>
      <c r="D20" s="224"/>
      <c r="E20" s="226"/>
    </row>
    <row r="21" spans="1:5" ht="15.75" thickBot="1">
      <c r="A21" s="228" t="s">
        <v>58</v>
      </c>
      <c r="B21" s="229">
        <f>B19*C21</f>
        <v>719421671.76</v>
      </c>
      <c r="C21" s="230">
        <v>0.1896</v>
      </c>
      <c r="D21" s="229"/>
      <c r="E21" s="231"/>
    </row>
    <row r="22" ht="16.5" thickBot="1" thickTop="1"/>
    <row r="23" spans="1:2" ht="15.75" thickTop="1">
      <c r="A23" s="291"/>
      <c r="B23" s="292" t="s">
        <v>118</v>
      </c>
    </row>
    <row r="24" spans="1:2" ht="15">
      <c r="A24" s="293" t="s">
        <v>182</v>
      </c>
      <c r="B24" s="294">
        <v>10375585.5</v>
      </c>
    </row>
    <row r="25" spans="1:2" ht="15">
      <c r="A25" s="293" t="s">
        <v>183</v>
      </c>
      <c r="B25" s="295">
        <v>15081150</v>
      </c>
    </row>
    <row r="26" spans="1:2" ht="15">
      <c r="A26" s="293" t="s">
        <v>184</v>
      </c>
      <c r="B26" s="294">
        <v>13745391</v>
      </c>
    </row>
    <row r="27" spans="1:2" ht="15">
      <c r="A27" s="293" t="s">
        <v>185</v>
      </c>
      <c r="B27" s="296">
        <v>0</v>
      </c>
    </row>
    <row r="28" spans="1:2" ht="15">
      <c r="A28" s="293" t="s">
        <v>186</v>
      </c>
      <c r="B28" s="296">
        <v>0</v>
      </c>
    </row>
    <row r="29" spans="1:2" ht="15">
      <c r="A29" s="293" t="s">
        <v>187</v>
      </c>
      <c r="B29" s="296">
        <v>0</v>
      </c>
    </row>
    <row r="30" spans="1:2" ht="15">
      <c r="A30" s="293" t="s">
        <v>188</v>
      </c>
      <c r="B30" s="297">
        <f>277.33*2134.5</f>
        <v>591960.885</v>
      </c>
    </row>
    <row r="31" spans="1:2" ht="15">
      <c r="A31" s="293" t="s">
        <v>189</v>
      </c>
      <c r="B31" s="297">
        <v>2119643</v>
      </c>
    </row>
    <row r="32" spans="1:2" ht="15">
      <c r="A32" s="298" t="s">
        <v>190</v>
      </c>
      <c r="B32" s="299">
        <f>SUM(B24:B31)</f>
        <v>41913730.385</v>
      </c>
    </row>
    <row r="33" spans="1:2" ht="15">
      <c r="A33" s="300" t="s">
        <v>191</v>
      </c>
      <c r="B33" s="299">
        <f>SUM(B24:B31)</f>
        <v>41913730.385</v>
      </c>
    </row>
    <row r="34" spans="1:2" ht="15">
      <c r="A34" s="300" t="s">
        <v>192</v>
      </c>
      <c r="B34" s="299">
        <v>16321800</v>
      </c>
    </row>
    <row r="35" spans="1:2" ht="15.75" thickBot="1">
      <c r="A35" s="301" t="s">
        <v>190</v>
      </c>
      <c r="B35" s="302">
        <f>B33-B34</f>
        <v>25591930.384999998</v>
      </c>
    </row>
    <row r="36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8">
      <selection activeCell="C48" sqref="C48"/>
    </sheetView>
  </sheetViews>
  <sheetFormatPr defaultColWidth="9.140625" defaultRowHeight="15"/>
  <cols>
    <col min="1" max="1" width="45.7109375" style="36" bestFit="1" customWidth="1"/>
    <col min="2" max="5" width="16.7109375" style="36" customWidth="1"/>
    <col min="6" max="6" width="13.8515625" style="36" customWidth="1"/>
    <col min="7" max="7" width="22.00390625" style="36" customWidth="1"/>
    <col min="8" max="8" width="19.421875" style="36" bestFit="1" customWidth="1"/>
    <col min="9" max="9" width="11.28125" style="36" bestFit="1" customWidth="1"/>
    <col min="10" max="16384" width="9.140625" style="36" customWidth="1"/>
  </cols>
  <sheetData>
    <row r="1" spans="1:5" ht="21.75" thickBot="1">
      <c r="A1" s="37" t="s">
        <v>22</v>
      </c>
      <c r="B1" s="137" t="s">
        <v>18</v>
      </c>
      <c r="C1" s="137" t="s">
        <v>19</v>
      </c>
      <c r="D1" s="137" t="s">
        <v>21</v>
      </c>
      <c r="E1" s="137" t="s">
        <v>29</v>
      </c>
    </row>
    <row r="2" spans="1:5" ht="15.75" thickBot="1" thickTop="1">
      <c r="A2" s="70" t="s">
        <v>23</v>
      </c>
      <c r="B2" s="138">
        <f>C2+D2+E2</f>
        <v>6812500</v>
      </c>
      <c r="C2" s="138">
        <v>2437500</v>
      </c>
      <c r="D2" s="30">
        <v>3750000</v>
      </c>
      <c r="E2" s="30">
        <v>625000</v>
      </c>
    </row>
    <row r="3" spans="1:5" ht="15.75" thickBot="1" thickTop="1">
      <c r="A3" s="71" t="s">
        <v>24</v>
      </c>
      <c r="B3" s="138">
        <f aca="true" t="shared" si="0" ref="B3:B11">C3+D3+E3</f>
        <v>4320000</v>
      </c>
      <c r="C3" s="139">
        <v>1080000</v>
      </c>
      <c r="D3" s="30">
        <v>2760000</v>
      </c>
      <c r="E3" s="30">
        <v>480000</v>
      </c>
    </row>
    <row r="4" spans="1:5" ht="15.75" thickBot="1" thickTop="1">
      <c r="A4" s="71" t="s">
        <v>25</v>
      </c>
      <c r="B4" s="138">
        <f t="shared" si="0"/>
        <v>8616000</v>
      </c>
      <c r="C4" s="139">
        <v>3816000</v>
      </c>
      <c r="D4" s="30">
        <v>0</v>
      </c>
      <c r="E4" s="30">
        <v>4800000</v>
      </c>
    </row>
    <row r="5" spans="1:5" ht="15.75" thickBot="1" thickTop="1">
      <c r="A5" s="71" t="s">
        <v>26</v>
      </c>
      <c r="B5" s="138">
        <f t="shared" si="0"/>
        <v>5700000</v>
      </c>
      <c r="C5" s="139">
        <v>2376000</v>
      </c>
      <c r="D5" s="30">
        <v>2832000</v>
      </c>
      <c r="E5" s="30">
        <v>492000</v>
      </c>
    </row>
    <row r="6" spans="1:5" ht="15.75" thickBot="1" thickTop="1">
      <c r="A6" s="71" t="s">
        <v>27</v>
      </c>
      <c r="B6" s="138">
        <f t="shared" si="0"/>
        <v>12948000</v>
      </c>
      <c r="C6" s="140">
        <v>0</v>
      </c>
      <c r="D6" s="30">
        <v>12948000</v>
      </c>
      <c r="E6" s="30"/>
    </row>
    <row r="7" spans="1:5" ht="15.75" thickBot="1" thickTop="1">
      <c r="A7" s="71" t="s">
        <v>20</v>
      </c>
      <c r="B7" s="138">
        <f t="shared" si="0"/>
        <v>103637500</v>
      </c>
      <c r="C7" s="140">
        <v>0</v>
      </c>
      <c r="D7" s="30">
        <v>82887500</v>
      </c>
      <c r="E7" s="30">
        <v>20750000</v>
      </c>
    </row>
    <row r="8" spans="1:5" ht="15.75" thickBot="1" thickTop="1">
      <c r="A8" s="71" t="s">
        <v>96</v>
      </c>
      <c r="B8" s="138">
        <f t="shared" si="0"/>
        <v>11428223</v>
      </c>
      <c r="C8" s="141">
        <v>4588267</v>
      </c>
      <c r="D8" s="30">
        <v>6839956</v>
      </c>
      <c r="E8" s="30">
        <v>0</v>
      </c>
    </row>
    <row r="9" spans="1:5" ht="15.75" thickBot="1" thickTop="1">
      <c r="A9" s="71" t="s">
        <v>97</v>
      </c>
      <c r="B9" s="138">
        <f t="shared" si="0"/>
        <v>3000000</v>
      </c>
      <c r="C9" s="141">
        <v>0</v>
      </c>
      <c r="D9" s="30">
        <v>0</v>
      </c>
      <c r="E9" s="30">
        <v>3000000</v>
      </c>
    </row>
    <row r="10" spans="1:5" ht="15.75" thickBot="1" thickTop="1">
      <c r="A10" s="71" t="s">
        <v>28</v>
      </c>
      <c r="B10" s="138">
        <f t="shared" si="0"/>
        <v>3700000</v>
      </c>
      <c r="C10" s="140">
        <v>0</v>
      </c>
      <c r="D10" s="30"/>
      <c r="E10" s="30">
        <v>3700000</v>
      </c>
    </row>
    <row r="11" spans="1:8" ht="15.75" thickBot="1" thickTop="1">
      <c r="A11" s="71" t="s">
        <v>56</v>
      </c>
      <c r="B11" s="138">
        <f t="shared" si="0"/>
        <v>2000000</v>
      </c>
      <c r="C11" s="140">
        <v>0</v>
      </c>
      <c r="D11" s="30">
        <v>0</v>
      </c>
      <c r="E11" s="30">
        <v>2000000</v>
      </c>
      <c r="H11" s="72"/>
    </row>
    <row r="12" spans="1:8" ht="15.75" thickBot="1" thickTop="1">
      <c r="A12" s="142" t="s">
        <v>67</v>
      </c>
      <c r="B12" s="143">
        <f>SUM(B2:B11)</f>
        <v>162162223</v>
      </c>
      <c r="C12" s="143">
        <f>SUM(C2:C11)</f>
        <v>14297767</v>
      </c>
      <c r="D12" s="143">
        <f>SUM(D2:D11)</f>
        <v>112017456</v>
      </c>
      <c r="E12" s="143">
        <f>SUM(E2:E11)</f>
        <v>35847000</v>
      </c>
      <c r="H12" s="72"/>
    </row>
    <row r="13" spans="1:8" ht="21">
      <c r="A13" s="147"/>
      <c r="B13" s="148" t="s">
        <v>68</v>
      </c>
      <c r="C13" s="148" t="s">
        <v>69</v>
      </c>
      <c r="D13" s="149" t="s">
        <v>57</v>
      </c>
      <c r="E13" s="144"/>
      <c r="H13" s="72"/>
    </row>
    <row r="14" spans="1:5" ht="15" thickBot="1">
      <c r="A14" s="150" t="s">
        <v>70</v>
      </c>
      <c r="B14" s="146">
        <v>170833902</v>
      </c>
      <c r="C14" s="146">
        <f>B12</f>
        <v>162162223</v>
      </c>
      <c r="D14" s="151">
        <f>B14-C14</f>
        <v>8671679</v>
      </c>
      <c r="E14" s="136"/>
    </row>
    <row r="15" spans="1:5" ht="14.25">
      <c r="A15" s="152" t="s">
        <v>58</v>
      </c>
      <c r="B15" s="145">
        <f>ROUND(B14*0.15,0)</f>
        <v>25625085</v>
      </c>
      <c r="C15" s="145">
        <f>ROUND(C14*0.15,0)</f>
        <v>24324333</v>
      </c>
      <c r="D15" s="153">
        <f>B15-C15</f>
        <v>1300752</v>
      </c>
      <c r="E15" s="136"/>
    </row>
    <row r="16" spans="1:7" ht="15" thickBot="1">
      <c r="A16" s="336" t="s">
        <v>71</v>
      </c>
      <c r="B16" s="337"/>
      <c r="C16" s="338"/>
      <c r="D16" s="154">
        <f>B20-B15</f>
        <v>375015</v>
      </c>
      <c r="E16" s="136"/>
      <c r="F16" s="312"/>
      <c r="G16" s="313"/>
    </row>
    <row r="17" spans="1:5" ht="15.75" thickBot="1" thickTop="1">
      <c r="A17" s="339" t="s">
        <v>72</v>
      </c>
      <c r="B17" s="340"/>
      <c r="C17" s="341"/>
      <c r="D17" s="155">
        <f>D15+D16</f>
        <v>1675767</v>
      </c>
      <c r="E17" s="136"/>
    </row>
    <row r="18" spans="1:5" ht="15" thickBot="1">
      <c r="A18" s="156"/>
      <c r="B18" s="156"/>
      <c r="C18" s="156"/>
      <c r="D18" s="141"/>
      <c r="E18" s="136"/>
    </row>
    <row r="19" spans="1:8" ht="22.5" thickBot="1" thickTop="1">
      <c r="A19" s="158"/>
      <c r="B19" s="164" t="s">
        <v>63</v>
      </c>
      <c r="C19" s="165">
        <v>2009</v>
      </c>
      <c r="D19" s="165">
        <v>2010</v>
      </c>
      <c r="E19" s="314" t="s">
        <v>201</v>
      </c>
      <c r="G19" s="334" t="s">
        <v>202</v>
      </c>
      <c r="H19" s="335"/>
    </row>
    <row r="20" spans="1:8" ht="21">
      <c r="A20" s="166" t="s">
        <v>73</v>
      </c>
      <c r="B20" s="167">
        <f>SUM(C20:E20)</f>
        <v>26000100</v>
      </c>
      <c r="C20" s="167">
        <v>14299900</v>
      </c>
      <c r="D20" s="167">
        <v>11700200</v>
      </c>
      <c r="E20" s="168">
        <v>0</v>
      </c>
      <c r="G20" s="315" t="s">
        <v>68</v>
      </c>
      <c r="H20" s="316">
        <f>B14</f>
        <v>170833902</v>
      </c>
    </row>
    <row r="21" spans="1:8" ht="15" thickBot="1">
      <c r="A21" s="150" t="s">
        <v>82</v>
      </c>
      <c r="B21" s="146">
        <f>SUM(C21:E21)</f>
        <v>26000100</v>
      </c>
      <c r="C21" s="146">
        <v>14347100</v>
      </c>
      <c r="D21" s="146">
        <v>11050600</v>
      </c>
      <c r="E21" s="151">
        <v>602400</v>
      </c>
      <c r="G21" s="317" t="s">
        <v>67</v>
      </c>
      <c r="H21" s="318">
        <f>B12</f>
        <v>162162223</v>
      </c>
    </row>
    <row r="22" spans="1:8" ht="14.25">
      <c r="A22" s="152" t="s">
        <v>74</v>
      </c>
      <c r="B22" s="280">
        <f>SUM(C22:E22)</f>
        <v>24324333</v>
      </c>
      <c r="C22" s="280">
        <f>ROUND(0.15*C12,0)</f>
        <v>2144665</v>
      </c>
      <c r="D22" s="280">
        <f>ROUND(0.15*D12,0)</f>
        <v>16802618</v>
      </c>
      <c r="E22" s="281">
        <f>ROUND(0.15*E12,0)</f>
        <v>5377050</v>
      </c>
      <c r="G22" s="317" t="s">
        <v>203</v>
      </c>
      <c r="H22" s="316">
        <f>H20-H21</f>
        <v>8671679</v>
      </c>
    </row>
    <row r="23" spans="1:8" ht="14.25">
      <c r="A23" s="160" t="s">
        <v>66</v>
      </c>
      <c r="B23" s="161"/>
      <c r="C23" s="161"/>
      <c r="D23" s="282">
        <f>C25</f>
        <v>12202435</v>
      </c>
      <c r="E23" s="270">
        <f>E22-E24</f>
        <v>4774650</v>
      </c>
      <c r="G23" s="317" t="s">
        <v>204</v>
      </c>
      <c r="H23" s="316">
        <f>H22*0.85</f>
        <v>7370927.149999999</v>
      </c>
    </row>
    <row r="24" spans="1:8" ht="14.25">
      <c r="A24" s="160" t="s">
        <v>75</v>
      </c>
      <c r="B24" s="161"/>
      <c r="C24" s="161"/>
      <c r="D24" s="282">
        <f>D22-D23</f>
        <v>4600183</v>
      </c>
      <c r="E24" s="270">
        <f>E21</f>
        <v>602400</v>
      </c>
      <c r="G24" s="317" t="s">
        <v>205</v>
      </c>
      <c r="H24" s="316">
        <f>H22*0.15</f>
        <v>1300751.8499999999</v>
      </c>
    </row>
    <row r="25" spans="1:8" ht="15" thickBot="1">
      <c r="A25" s="162" t="s">
        <v>81</v>
      </c>
      <c r="B25" s="163"/>
      <c r="C25" s="283">
        <f>C21-C22</f>
        <v>12202435</v>
      </c>
      <c r="D25" s="283">
        <f>D21-D24</f>
        <v>6450417</v>
      </c>
      <c r="E25" s="284">
        <f>D25-E23</f>
        <v>1675767</v>
      </c>
      <c r="G25" s="319" t="s">
        <v>206</v>
      </c>
      <c r="H25" s="320">
        <f>H24+H27</f>
        <v>1675766.8499999999</v>
      </c>
    </row>
    <row r="26" spans="1:8" ht="15" thickTop="1">
      <c r="A26" s="240" t="s">
        <v>179</v>
      </c>
      <c r="B26" s="241"/>
      <c r="C26" s="241"/>
      <c r="D26" s="242"/>
      <c r="E26" s="243">
        <v>375015</v>
      </c>
      <c r="G26" s="317" t="s">
        <v>81</v>
      </c>
      <c r="H26" s="316">
        <f>E25</f>
        <v>1675767</v>
      </c>
    </row>
    <row r="27" spans="1:8" ht="15" thickBot="1">
      <c r="A27" s="244" t="s">
        <v>81</v>
      </c>
      <c r="B27" s="157">
        <f>SUM(C27:E27)</f>
        <v>20328619</v>
      </c>
      <c r="C27" s="157">
        <f>C25</f>
        <v>12202435</v>
      </c>
      <c r="D27" s="157">
        <f>D25</f>
        <v>6450417</v>
      </c>
      <c r="E27" s="157">
        <f>E25</f>
        <v>1675767</v>
      </c>
      <c r="G27" s="321" t="s">
        <v>179</v>
      </c>
      <c r="H27" s="322">
        <f>E26</f>
        <v>375015</v>
      </c>
    </row>
    <row r="28" spans="2:5" ht="14.25">
      <c r="B28" s="285"/>
      <c r="C28" s="285"/>
      <c r="D28" s="285"/>
      <c r="E28" s="285"/>
    </row>
    <row r="30" spans="1:6" ht="15" thickBot="1">
      <c r="A30" s="344" t="s">
        <v>135</v>
      </c>
      <c r="B30" s="344"/>
      <c r="C30" s="344"/>
      <c r="D30" s="344"/>
      <c r="E30" s="344"/>
      <c r="F30" s="344"/>
    </row>
    <row r="31" spans="1:6" ht="14.25">
      <c r="A31" s="345"/>
      <c r="B31" s="345" t="s">
        <v>78</v>
      </c>
      <c r="C31" s="345" t="s">
        <v>59</v>
      </c>
      <c r="D31" s="342" t="s">
        <v>58</v>
      </c>
      <c r="E31" s="342"/>
      <c r="F31" s="343"/>
    </row>
    <row r="32" spans="1:6" ht="15.75" customHeight="1" thickBot="1">
      <c r="A32" s="346"/>
      <c r="B32" s="346"/>
      <c r="C32" s="346"/>
      <c r="D32" s="179" t="s">
        <v>80</v>
      </c>
      <c r="E32" s="180" t="s">
        <v>79</v>
      </c>
      <c r="F32" s="169" t="s">
        <v>136</v>
      </c>
    </row>
    <row r="33" spans="1:6" ht="14.25">
      <c r="A33" s="173" t="s">
        <v>76</v>
      </c>
      <c r="B33" s="176">
        <f>E12</f>
        <v>35847000</v>
      </c>
      <c r="C33" s="176">
        <f>ROUND(B33*0.85,0)</f>
        <v>30469950</v>
      </c>
      <c r="D33" s="181">
        <f>B33-C33</f>
        <v>5377050</v>
      </c>
      <c r="E33" s="159">
        <v>0</v>
      </c>
      <c r="F33" s="170">
        <f>D25</f>
        <v>6450417</v>
      </c>
    </row>
    <row r="34" spans="1:6" ht="15" thickBot="1">
      <c r="A34" s="174" t="s">
        <v>77</v>
      </c>
      <c r="B34" s="177"/>
      <c r="C34" s="177">
        <f>ROUND(B34*0.85,0)</f>
        <v>0</v>
      </c>
      <c r="D34" s="182">
        <f>B34-C34</f>
        <v>0</v>
      </c>
      <c r="E34" s="183">
        <f>D34-F34</f>
        <v>0</v>
      </c>
      <c r="F34" s="171">
        <v>0</v>
      </c>
    </row>
    <row r="35" spans="1:6" ht="15.75" thickBot="1" thickTop="1">
      <c r="A35" s="175" t="s">
        <v>78</v>
      </c>
      <c r="B35" s="178">
        <f>SUM(B33:B34)</f>
        <v>35847000</v>
      </c>
      <c r="C35" s="178">
        <f>SUM(C33:C34)</f>
        <v>30469950</v>
      </c>
      <c r="D35" s="184">
        <f>SUM(D33:D34)</f>
        <v>5377050</v>
      </c>
      <c r="E35" s="185">
        <f>SUM(E33:E34)</f>
        <v>0</v>
      </c>
      <c r="F35" s="172">
        <f>SUM(F33:F34)</f>
        <v>6450417</v>
      </c>
    </row>
  </sheetData>
  <sheetProtection/>
  <mergeCells count="8">
    <mergeCell ref="G19:H19"/>
    <mergeCell ref="A16:C16"/>
    <mergeCell ref="A17:C17"/>
    <mergeCell ref="D31:F31"/>
    <mergeCell ref="A30:F30"/>
    <mergeCell ref="B31:B32"/>
    <mergeCell ref="C31:C32"/>
    <mergeCell ref="A31:A32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zoomScale="88" zoomScaleNormal="88" zoomScalePageLayoutView="0" workbookViewId="0" topLeftCell="A1">
      <selection activeCell="J1" sqref="J1"/>
    </sheetView>
  </sheetViews>
  <sheetFormatPr defaultColWidth="9.140625" defaultRowHeight="15"/>
  <cols>
    <col min="1" max="1" width="4.28125" style="42" customWidth="1"/>
    <col min="2" max="2" width="36.00390625" style="42" bestFit="1" customWidth="1"/>
    <col min="3" max="15" width="9.7109375" style="42" customWidth="1"/>
    <col min="16" max="16" width="17.8515625" style="42" customWidth="1"/>
    <col min="17" max="17" width="9.7109375" style="42" customWidth="1"/>
    <col min="18" max="18" width="17.8515625" style="206" customWidth="1"/>
    <col min="19" max="19" width="9.7109375" style="204" customWidth="1"/>
    <col min="20" max="20" width="14.00390625" style="204" bestFit="1" customWidth="1"/>
    <col min="21" max="16384" width="9.140625" style="42" customWidth="1"/>
  </cols>
  <sheetData>
    <row r="1" spans="1:20" ht="12.75">
      <c r="A1" s="39"/>
      <c r="B1" s="40"/>
      <c r="C1" s="112" t="s">
        <v>30</v>
      </c>
      <c r="D1" s="112" t="s">
        <v>31</v>
      </c>
      <c r="E1" s="112" t="s">
        <v>32</v>
      </c>
      <c r="F1" s="112" t="s">
        <v>33</v>
      </c>
      <c r="G1" s="112" t="s">
        <v>34</v>
      </c>
      <c r="H1" s="112" t="s">
        <v>35</v>
      </c>
      <c r="I1" s="112" t="s">
        <v>36</v>
      </c>
      <c r="J1" s="112" t="s">
        <v>37</v>
      </c>
      <c r="K1" s="112" t="s">
        <v>38</v>
      </c>
      <c r="L1" s="112" t="s">
        <v>39</v>
      </c>
      <c r="M1" s="112" t="s">
        <v>40</v>
      </c>
      <c r="N1" s="113" t="s">
        <v>41</v>
      </c>
      <c r="O1" s="122" t="s">
        <v>15</v>
      </c>
      <c r="P1" s="40"/>
      <c r="Q1" s="41"/>
      <c r="R1" s="347"/>
      <c r="S1" s="348"/>
      <c r="T1" s="203"/>
    </row>
    <row r="2" spans="1:20" ht="13.5" thickBot="1">
      <c r="A2" s="43"/>
      <c r="B2" s="44" t="s">
        <v>42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123"/>
      <c r="P2" s="45"/>
      <c r="Q2" s="46"/>
      <c r="S2" s="205"/>
      <c r="T2" s="205"/>
    </row>
    <row r="3" spans="1:20" s="51" customFormat="1" ht="12.75">
      <c r="A3" s="47">
        <v>1</v>
      </c>
      <c r="B3" s="114" t="s">
        <v>43</v>
      </c>
      <c r="C3" s="115">
        <f>SUM(C4:C11)</f>
        <v>129500</v>
      </c>
      <c r="D3" s="115">
        <f aca="true" t="shared" si="0" ref="D3:N3">SUM(D4:D11)</f>
        <v>250000</v>
      </c>
      <c r="E3" s="115">
        <f t="shared" si="0"/>
        <v>270000</v>
      </c>
      <c r="F3" s="115">
        <f t="shared" si="0"/>
        <v>270000</v>
      </c>
      <c r="G3" s="115">
        <f t="shared" si="0"/>
        <v>270000</v>
      </c>
      <c r="H3" s="115">
        <f t="shared" si="0"/>
        <v>270000</v>
      </c>
      <c r="I3" s="115">
        <f t="shared" si="0"/>
        <v>270000</v>
      </c>
      <c r="J3" s="115">
        <f t="shared" si="0"/>
        <v>270000</v>
      </c>
      <c r="K3" s="115">
        <f t="shared" si="0"/>
        <v>270000</v>
      </c>
      <c r="L3" s="115">
        <f t="shared" si="0"/>
        <v>270000</v>
      </c>
      <c r="M3" s="115">
        <f t="shared" si="0"/>
        <v>270000</v>
      </c>
      <c r="N3" s="115">
        <f t="shared" si="0"/>
        <v>270000</v>
      </c>
      <c r="O3" s="124">
        <f>SUM(C3:N3)</f>
        <v>3079500</v>
      </c>
      <c r="P3" s="49"/>
      <c r="Q3" s="50"/>
      <c r="R3" s="206"/>
      <c r="S3" s="206"/>
      <c r="T3" s="206"/>
    </row>
    <row r="4" spans="1:20" s="51" customFormat="1" ht="12.75">
      <c r="A4" s="43"/>
      <c r="B4" s="87" t="s">
        <v>44</v>
      </c>
      <c r="C4" s="88">
        <v>129500</v>
      </c>
      <c r="D4" s="88">
        <v>129500</v>
      </c>
      <c r="E4" s="88">
        <v>129500</v>
      </c>
      <c r="F4" s="88">
        <v>129500</v>
      </c>
      <c r="G4" s="88">
        <v>129500</v>
      </c>
      <c r="H4" s="88">
        <v>129500</v>
      </c>
      <c r="I4" s="88">
        <v>129500</v>
      </c>
      <c r="J4" s="88">
        <v>129500</v>
      </c>
      <c r="K4" s="88">
        <v>129500</v>
      </c>
      <c r="L4" s="88">
        <v>129500</v>
      </c>
      <c r="M4" s="88">
        <v>129500</v>
      </c>
      <c r="N4" s="88">
        <v>129500</v>
      </c>
      <c r="O4" s="125">
        <f aca="true" t="shared" si="1" ref="O4:O11">SUM(C4:N4)</f>
        <v>1554000</v>
      </c>
      <c r="P4" s="49"/>
      <c r="Q4" s="50"/>
      <c r="R4" s="206"/>
      <c r="S4" s="206"/>
      <c r="T4" s="206"/>
    </row>
    <row r="5" spans="1:19" ht="12.75">
      <c r="A5" s="43"/>
      <c r="B5" s="86" t="s">
        <v>60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126">
        <f t="shared" si="1"/>
        <v>0</v>
      </c>
      <c r="P5" s="45"/>
      <c r="Q5" s="46"/>
      <c r="S5" s="206"/>
    </row>
    <row r="6" spans="1:19" ht="12.75">
      <c r="A6" s="43"/>
      <c r="B6" s="86" t="s">
        <v>61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126">
        <f t="shared" si="1"/>
        <v>0</v>
      </c>
      <c r="P6" s="45"/>
      <c r="Q6" s="46"/>
      <c r="S6" s="206"/>
    </row>
    <row r="7" spans="1:20" s="51" customFormat="1" ht="12.75">
      <c r="A7" s="43"/>
      <c r="B7" s="83" t="s">
        <v>45</v>
      </c>
      <c r="C7" s="84"/>
      <c r="D7" s="84">
        <f>70500</f>
        <v>70500</v>
      </c>
      <c r="E7" s="84">
        <f aca="true" t="shared" si="2" ref="E7:N7">70500</f>
        <v>70500</v>
      </c>
      <c r="F7" s="84">
        <f t="shared" si="2"/>
        <v>70500</v>
      </c>
      <c r="G7" s="84">
        <f t="shared" si="2"/>
        <v>70500</v>
      </c>
      <c r="H7" s="84">
        <f t="shared" si="2"/>
        <v>70500</v>
      </c>
      <c r="I7" s="84">
        <f t="shared" si="2"/>
        <v>70500</v>
      </c>
      <c r="J7" s="84">
        <f t="shared" si="2"/>
        <v>70500</v>
      </c>
      <c r="K7" s="84">
        <f t="shared" si="2"/>
        <v>70500</v>
      </c>
      <c r="L7" s="84">
        <f t="shared" si="2"/>
        <v>70500</v>
      </c>
      <c r="M7" s="84">
        <f t="shared" si="2"/>
        <v>70500</v>
      </c>
      <c r="N7" s="84">
        <f t="shared" si="2"/>
        <v>70500</v>
      </c>
      <c r="O7" s="126">
        <f t="shared" si="1"/>
        <v>775500</v>
      </c>
      <c r="P7" s="49"/>
      <c r="Q7" s="50"/>
      <c r="R7" s="206"/>
      <c r="S7" s="206"/>
      <c r="T7" s="206"/>
    </row>
    <row r="8" spans="1:20" s="51" customFormat="1" ht="12.75">
      <c r="A8" s="43"/>
      <c r="B8" s="83" t="s">
        <v>47</v>
      </c>
      <c r="C8" s="84"/>
      <c r="D8" s="84"/>
      <c r="E8" s="84">
        <v>20000</v>
      </c>
      <c r="F8" s="84">
        <v>20000</v>
      </c>
      <c r="G8" s="84">
        <v>20000</v>
      </c>
      <c r="H8" s="84">
        <v>20000</v>
      </c>
      <c r="I8" s="84">
        <v>20000</v>
      </c>
      <c r="J8" s="84">
        <v>20000</v>
      </c>
      <c r="K8" s="84">
        <v>20000</v>
      </c>
      <c r="L8" s="84">
        <v>20000</v>
      </c>
      <c r="M8" s="84">
        <v>20000</v>
      </c>
      <c r="N8" s="84">
        <v>20000</v>
      </c>
      <c r="O8" s="126">
        <f t="shared" si="1"/>
        <v>200000</v>
      </c>
      <c r="P8" s="45"/>
      <c r="Q8" s="46"/>
      <c r="R8" s="206"/>
      <c r="S8" s="206"/>
      <c r="T8" s="204"/>
    </row>
    <row r="9" spans="1:19" ht="12.75">
      <c r="A9" s="43"/>
      <c r="B9" s="83" t="s">
        <v>48</v>
      </c>
      <c r="C9" s="84"/>
      <c r="D9" s="84">
        <v>50000</v>
      </c>
      <c r="E9" s="84">
        <v>50000</v>
      </c>
      <c r="F9" s="84">
        <v>50000</v>
      </c>
      <c r="G9" s="84">
        <v>50000</v>
      </c>
      <c r="H9" s="84">
        <v>50000</v>
      </c>
      <c r="I9" s="84">
        <v>50000</v>
      </c>
      <c r="J9" s="84">
        <v>50000</v>
      </c>
      <c r="K9" s="84">
        <v>50000</v>
      </c>
      <c r="L9" s="84">
        <v>50000</v>
      </c>
      <c r="M9" s="84">
        <v>50000</v>
      </c>
      <c r="N9" s="84">
        <v>50000</v>
      </c>
      <c r="O9" s="126">
        <f t="shared" si="1"/>
        <v>550000</v>
      </c>
      <c r="P9" s="45"/>
      <c r="Q9" s="46"/>
      <c r="S9" s="206"/>
    </row>
    <row r="10" spans="1:20" ht="12.75">
      <c r="A10" s="43"/>
      <c r="B10" s="86" t="s">
        <v>65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129">
        <f t="shared" si="1"/>
        <v>0</v>
      </c>
      <c r="P10" s="49"/>
      <c r="Q10" s="50"/>
      <c r="S10" s="206"/>
      <c r="T10" s="206"/>
    </row>
    <row r="11" spans="1:20" s="51" customFormat="1" ht="13.5" thickBot="1">
      <c r="A11" s="43"/>
      <c r="B11" s="57" t="s">
        <v>46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130">
        <f t="shared" si="1"/>
        <v>0</v>
      </c>
      <c r="P11" s="49"/>
      <c r="Q11" s="50"/>
      <c r="R11" s="206"/>
      <c r="S11" s="206"/>
      <c r="T11" s="206"/>
    </row>
    <row r="12" spans="1:20" ht="12.75">
      <c r="A12" s="47">
        <v>2</v>
      </c>
      <c r="B12" s="114" t="s">
        <v>92</v>
      </c>
      <c r="C12" s="115">
        <f>C13</f>
        <v>450000</v>
      </c>
      <c r="D12" s="115">
        <f aca="true" t="shared" si="3" ref="D12:N12">D13</f>
        <v>450000</v>
      </c>
      <c r="E12" s="115">
        <f t="shared" si="3"/>
        <v>450000</v>
      </c>
      <c r="F12" s="115">
        <f t="shared" si="3"/>
        <v>450000</v>
      </c>
      <c r="G12" s="115">
        <f t="shared" si="3"/>
        <v>450000</v>
      </c>
      <c r="H12" s="115">
        <f t="shared" si="3"/>
        <v>450000</v>
      </c>
      <c r="I12" s="115">
        <f t="shared" si="3"/>
        <v>450000</v>
      </c>
      <c r="J12" s="115">
        <f t="shared" si="3"/>
        <v>450000</v>
      </c>
      <c r="K12" s="115">
        <f t="shared" si="3"/>
        <v>450000</v>
      </c>
      <c r="L12" s="115">
        <f t="shared" si="3"/>
        <v>450000</v>
      </c>
      <c r="M12" s="115">
        <f t="shared" si="3"/>
        <v>450000</v>
      </c>
      <c r="N12" s="115">
        <f t="shared" si="3"/>
        <v>450000</v>
      </c>
      <c r="O12" s="124">
        <f>SUM(C12:N12)</f>
        <v>5400000</v>
      </c>
      <c r="P12" s="45"/>
      <c r="Q12" s="46"/>
      <c r="S12" s="206"/>
      <c r="T12" s="206"/>
    </row>
    <row r="13" spans="1:19" ht="13.5" thickBot="1">
      <c r="A13" s="43"/>
      <c r="B13" s="87" t="s">
        <v>125</v>
      </c>
      <c r="C13" s="88">
        <v>450000</v>
      </c>
      <c r="D13" s="88">
        <v>450000</v>
      </c>
      <c r="E13" s="88">
        <v>450000</v>
      </c>
      <c r="F13" s="88">
        <v>450000</v>
      </c>
      <c r="G13" s="88">
        <v>450000</v>
      </c>
      <c r="H13" s="88">
        <v>450000</v>
      </c>
      <c r="I13" s="88">
        <v>450000</v>
      </c>
      <c r="J13" s="88">
        <v>450000</v>
      </c>
      <c r="K13" s="88">
        <v>450000</v>
      </c>
      <c r="L13" s="88">
        <v>450000</v>
      </c>
      <c r="M13" s="88">
        <v>450000</v>
      </c>
      <c r="N13" s="88">
        <v>450000</v>
      </c>
      <c r="O13" s="125">
        <f>SUM(C13:N13)</f>
        <v>5400000</v>
      </c>
      <c r="P13" s="45"/>
      <c r="Q13" s="46"/>
      <c r="S13" s="206"/>
    </row>
    <row r="14" spans="1:20" ht="12.75">
      <c r="A14" s="47">
        <v>3</v>
      </c>
      <c r="B14" s="48" t="s">
        <v>93</v>
      </c>
      <c r="C14" s="78"/>
      <c r="D14" s="78">
        <f>SUM(D15:D22)</f>
        <v>160000</v>
      </c>
      <c r="E14" s="78">
        <f aca="true" t="shared" si="4" ref="E14:N14">SUM(E15:E22)</f>
        <v>330000</v>
      </c>
      <c r="F14" s="78">
        <f t="shared" si="4"/>
        <v>330000</v>
      </c>
      <c r="G14" s="78">
        <f t="shared" si="4"/>
        <v>330000</v>
      </c>
      <c r="H14" s="78">
        <f t="shared" si="4"/>
        <v>330000</v>
      </c>
      <c r="I14" s="78">
        <f t="shared" si="4"/>
        <v>330000</v>
      </c>
      <c r="J14" s="78">
        <f t="shared" si="4"/>
        <v>330000</v>
      </c>
      <c r="K14" s="78">
        <f t="shared" si="4"/>
        <v>330000</v>
      </c>
      <c r="L14" s="78">
        <f t="shared" si="4"/>
        <v>330000</v>
      </c>
      <c r="M14" s="78">
        <f t="shared" si="4"/>
        <v>330000</v>
      </c>
      <c r="N14" s="78">
        <f t="shared" si="4"/>
        <v>330000</v>
      </c>
      <c r="O14" s="131">
        <f>SUM(C14:N14)</f>
        <v>3460000</v>
      </c>
      <c r="P14" s="45"/>
      <c r="Q14" s="46"/>
      <c r="S14" s="206"/>
      <c r="T14" s="206"/>
    </row>
    <row r="15" spans="1:17" ht="12.75">
      <c r="A15" s="43"/>
      <c r="B15" s="83" t="s">
        <v>44</v>
      </c>
      <c r="C15" s="84"/>
      <c r="D15" s="84">
        <f>202000/2</f>
        <v>101000</v>
      </c>
      <c r="E15" s="84">
        <v>202000</v>
      </c>
      <c r="F15" s="84">
        <v>202000</v>
      </c>
      <c r="G15" s="84">
        <v>202000</v>
      </c>
      <c r="H15" s="84">
        <v>202000</v>
      </c>
      <c r="I15" s="84">
        <v>202000</v>
      </c>
      <c r="J15" s="84">
        <v>202000</v>
      </c>
      <c r="K15" s="84">
        <v>202000</v>
      </c>
      <c r="L15" s="84">
        <v>202000</v>
      </c>
      <c r="M15" s="84">
        <v>202000</v>
      </c>
      <c r="N15" s="84">
        <v>202000</v>
      </c>
      <c r="O15" s="126">
        <f aca="true" t="shared" si="5" ref="O15:O22">SUM(C15:N15)</f>
        <v>2121000</v>
      </c>
      <c r="P15" s="45"/>
      <c r="Q15" s="46"/>
    </row>
    <row r="16" spans="1:19" ht="12.75">
      <c r="A16" s="43"/>
      <c r="B16" s="86" t="s">
        <v>60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126">
        <f t="shared" si="5"/>
        <v>0</v>
      </c>
      <c r="P16" s="45"/>
      <c r="Q16" s="46"/>
      <c r="S16" s="206"/>
    </row>
    <row r="17" spans="1:19" ht="12.75">
      <c r="A17" s="43"/>
      <c r="B17" s="86" t="s">
        <v>61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5"/>
      <c r="O17" s="126">
        <f t="shared" si="5"/>
        <v>0</v>
      </c>
      <c r="P17" s="45"/>
      <c r="Q17" s="46"/>
      <c r="S17" s="206"/>
    </row>
    <row r="18" spans="1:20" s="51" customFormat="1" ht="12.75">
      <c r="A18" s="43"/>
      <c r="B18" s="83" t="s">
        <v>45</v>
      </c>
      <c r="C18" s="84"/>
      <c r="D18" s="84">
        <f>(98000+12000+8000)/2</f>
        <v>59000</v>
      </c>
      <c r="E18" s="84">
        <f aca="true" t="shared" si="6" ref="E18:N18">98000+12000+8000</f>
        <v>118000</v>
      </c>
      <c r="F18" s="84">
        <f t="shared" si="6"/>
        <v>118000</v>
      </c>
      <c r="G18" s="84">
        <f t="shared" si="6"/>
        <v>118000</v>
      </c>
      <c r="H18" s="84">
        <f t="shared" si="6"/>
        <v>118000</v>
      </c>
      <c r="I18" s="84">
        <f t="shared" si="6"/>
        <v>118000</v>
      </c>
      <c r="J18" s="84">
        <f t="shared" si="6"/>
        <v>118000</v>
      </c>
      <c r="K18" s="84">
        <f t="shared" si="6"/>
        <v>118000</v>
      </c>
      <c r="L18" s="84">
        <f t="shared" si="6"/>
        <v>118000</v>
      </c>
      <c r="M18" s="84">
        <f t="shared" si="6"/>
        <v>118000</v>
      </c>
      <c r="N18" s="84">
        <f t="shared" si="6"/>
        <v>118000</v>
      </c>
      <c r="O18" s="126">
        <f t="shared" si="5"/>
        <v>1239000</v>
      </c>
      <c r="P18" s="45"/>
      <c r="Q18" s="46"/>
      <c r="R18" s="206"/>
      <c r="S18" s="204"/>
      <c r="T18" s="204"/>
    </row>
    <row r="19" spans="1:19" ht="12.75">
      <c r="A19" s="43"/>
      <c r="B19" s="83" t="s">
        <v>47</v>
      </c>
      <c r="C19" s="84"/>
      <c r="D19" s="84"/>
      <c r="E19" s="84">
        <v>10000</v>
      </c>
      <c r="F19" s="84">
        <v>10000</v>
      </c>
      <c r="G19" s="84">
        <v>10000</v>
      </c>
      <c r="H19" s="84">
        <v>10000</v>
      </c>
      <c r="I19" s="84">
        <v>10000</v>
      </c>
      <c r="J19" s="84">
        <v>10000</v>
      </c>
      <c r="K19" s="84">
        <v>10000</v>
      </c>
      <c r="L19" s="84">
        <v>10000</v>
      </c>
      <c r="M19" s="84">
        <v>10000</v>
      </c>
      <c r="N19" s="84">
        <v>10000</v>
      </c>
      <c r="O19" s="126">
        <f t="shared" si="5"/>
        <v>100000</v>
      </c>
      <c r="P19" s="45"/>
      <c r="Q19" s="46"/>
      <c r="S19" s="206"/>
    </row>
    <row r="20" spans="1:19" ht="12.75">
      <c r="A20" s="43"/>
      <c r="B20" s="83" t="s">
        <v>48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126">
        <f t="shared" si="5"/>
        <v>0</v>
      </c>
      <c r="P20" s="45"/>
      <c r="Q20" s="46"/>
      <c r="S20" s="206"/>
    </row>
    <row r="21" spans="1:20" ht="12.75">
      <c r="A21" s="43"/>
      <c r="B21" s="86" t="s">
        <v>65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  <c r="O21" s="129">
        <f t="shared" si="5"/>
        <v>0</v>
      </c>
      <c r="P21" s="49"/>
      <c r="Q21" s="50"/>
      <c r="S21" s="206"/>
      <c r="T21" s="206"/>
    </row>
    <row r="22" spans="1:20" s="51" customFormat="1" ht="13.5" thickBot="1">
      <c r="A22" s="43"/>
      <c r="B22" s="57" t="s">
        <v>46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  <c r="O22" s="130">
        <f t="shared" si="5"/>
        <v>0</v>
      </c>
      <c r="P22" s="49"/>
      <c r="Q22" s="50"/>
      <c r="R22" s="206"/>
      <c r="S22" s="206"/>
      <c r="T22" s="206"/>
    </row>
    <row r="23" spans="1:25" ht="12.75">
      <c r="A23" s="47">
        <v>4</v>
      </c>
      <c r="B23" s="82" t="s">
        <v>49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>
        <f>SUM(N24)</f>
        <v>600000</v>
      </c>
      <c r="O23" s="79">
        <f>O24</f>
        <v>600000</v>
      </c>
      <c r="P23" s="45"/>
      <c r="Q23" s="46"/>
      <c r="R23" s="305"/>
      <c r="S23" s="207"/>
      <c r="T23" s="208"/>
      <c r="U23" s="52"/>
      <c r="V23" s="52"/>
      <c r="W23" s="52"/>
      <c r="X23" s="52"/>
      <c r="Y23" s="52"/>
    </row>
    <row r="24" spans="1:25" ht="13.5" thickBot="1">
      <c r="A24" s="89"/>
      <c r="B24" s="90" t="s">
        <v>95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2">
        <v>600000</v>
      </c>
      <c r="O24" s="132">
        <f>SUM(C24:N24)</f>
        <v>600000</v>
      </c>
      <c r="P24" s="45"/>
      <c r="Q24" s="46"/>
      <c r="R24" s="305"/>
      <c r="S24" s="207"/>
      <c r="T24" s="207"/>
      <c r="U24" s="52"/>
      <c r="V24" s="52"/>
      <c r="W24" s="52"/>
      <c r="X24" s="52"/>
      <c r="Y24" s="52"/>
    </row>
    <row r="25" spans="1:17" ht="15" customHeight="1" thickBot="1">
      <c r="A25" s="106"/>
      <c r="B25" s="107" t="s">
        <v>15</v>
      </c>
      <c r="C25" s="96">
        <f>C3+C12+C14+C23</f>
        <v>579500</v>
      </c>
      <c r="D25" s="96">
        <f aca="true" t="shared" si="7" ref="D25:N25">D3+D12+D14+D23</f>
        <v>860000</v>
      </c>
      <c r="E25" s="96">
        <f t="shared" si="7"/>
        <v>1050000</v>
      </c>
      <c r="F25" s="96">
        <f t="shared" si="7"/>
        <v>1050000</v>
      </c>
      <c r="G25" s="96">
        <f t="shared" si="7"/>
        <v>1050000</v>
      </c>
      <c r="H25" s="96">
        <f t="shared" si="7"/>
        <v>1050000</v>
      </c>
      <c r="I25" s="96">
        <f t="shared" si="7"/>
        <v>1050000</v>
      </c>
      <c r="J25" s="96">
        <f t="shared" si="7"/>
        <v>1050000</v>
      </c>
      <c r="K25" s="96">
        <f t="shared" si="7"/>
        <v>1050000</v>
      </c>
      <c r="L25" s="96">
        <f t="shared" si="7"/>
        <v>1050000</v>
      </c>
      <c r="M25" s="96">
        <f t="shared" si="7"/>
        <v>1050000</v>
      </c>
      <c r="N25" s="96">
        <f t="shared" si="7"/>
        <v>1650000</v>
      </c>
      <c r="O25" s="133">
        <f>O3+O12+O14+O23</f>
        <v>12539500</v>
      </c>
      <c r="P25" s="45"/>
      <c r="Q25" s="46"/>
    </row>
    <row r="26" spans="1:17" ht="15" customHeight="1">
      <c r="A26" s="97"/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  <c r="Q26" s="105"/>
    </row>
    <row r="27" spans="1:17" ht="10.5" customHeight="1">
      <c r="A27" s="97"/>
      <c r="B27" s="44" t="s">
        <v>50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  <c r="P27" s="55" t="s">
        <v>51</v>
      </c>
      <c r="Q27" s="56"/>
    </row>
    <row r="28" spans="1:20" ht="13.5" thickBot="1">
      <c r="A28" s="97"/>
      <c r="B28" s="93" t="s">
        <v>52</v>
      </c>
      <c r="C28" s="88">
        <f>C3+C12+C14+C23</f>
        <v>579500</v>
      </c>
      <c r="D28" s="88">
        <f aca="true" t="shared" si="8" ref="D28:N28">D3+D12+D14+D23</f>
        <v>860000</v>
      </c>
      <c r="E28" s="88">
        <f t="shared" si="8"/>
        <v>1050000</v>
      </c>
      <c r="F28" s="88">
        <f t="shared" si="8"/>
        <v>1050000</v>
      </c>
      <c r="G28" s="88">
        <f t="shared" si="8"/>
        <v>1050000</v>
      </c>
      <c r="H28" s="88">
        <f t="shared" si="8"/>
        <v>1050000</v>
      </c>
      <c r="I28" s="88">
        <f t="shared" si="8"/>
        <v>1050000</v>
      </c>
      <c r="J28" s="88">
        <f t="shared" si="8"/>
        <v>1050000</v>
      </c>
      <c r="K28" s="88">
        <f t="shared" si="8"/>
        <v>1050000</v>
      </c>
      <c r="L28" s="88">
        <f t="shared" si="8"/>
        <v>1050000</v>
      </c>
      <c r="M28" s="88">
        <f t="shared" si="8"/>
        <v>1050000</v>
      </c>
      <c r="N28" s="88">
        <f t="shared" si="8"/>
        <v>1650000</v>
      </c>
      <c r="O28" s="94">
        <f>SUM(C28:N28)</f>
        <v>12539500</v>
      </c>
      <c r="P28" s="58"/>
      <c r="Q28" s="46"/>
      <c r="S28" s="205"/>
      <c r="T28" s="205"/>
    </row>
    <row r="29" spans="1:20" s="68" customFormat="1" ht="13.5" thickBot="1">
      <c r="A29" s="287"/>
      <c r="B29" s="82" t="s">
        <v>62</v>
      </c>
      <c r="C29" s="78">
        <f>(C3+C12+C14+C23)*$P$29</f>
        <v>156465</v>
      </c>
      <c r="D29" s="78">
        <f aca="true" t="shared" si="9" ref="D29:N29">(D3+D12+D14+D23)*$P$29</f>
        <v>232200.00000000003</v>
      </c>
      <c r="E29" s="78">
        <f t="shared" si="9"/>
        <v>283500</v>
      </c>
      <c r="F29" s="78">
        <f t="shared" si="9"/>
        <v>283500</v>
      </c>
      <c r="G29" s="78">
        <f t="shared" si="9"/>
        <v>283500</v>
      </c>
      <c r="H29" s="78">
        <f t="shared" si="9"/>
        <v>283500</v>
      </c>
      <c r="I29" s="78">
        <f t="shared" si="9"/>
        <v>283500</v>
      </c>
      <c r="J29" s="78">
        <f t="shared" si="9"/>
        <v>283500</v>
      </c>
      <c r="K29" s="78">
        <f t="shared" si="9"/>
        <v>283500</v>
      </c>
      <c r="L29" s="78">
        <f t="shared" si="9"/>
        <v>283500</v>
      </c>
      <c r="M29" s="78">
        <f t="shared" si="9"/>
        <v>283500</v>
      </c>
      <c r="N29" s="78">
        <f t="shared" si="9"/>
        <v>445500.00000000006</v>
      </c>
      <c r="O29" s="288">
        <f>SUM(C29:N29)</f>
        <v>3385665</v>
      </c>
      <c r="P29" s="289">
        <v>0.27</v>
      </c>
      <c r="Q29" s="290"/>
      <c r="R29" s="205"/>
      <c r="S29" s="209"/>
      <c r="T29" s="209"/>
    </row>
    <row r="30" spans="1:17" ht="19.5" customHeight="1" thickBot="1">
      <c r="A30" s="97"/>
      <c r="B30" s="61" t="s">
        <v>15</v>
      </c>
      <c r="C30" s="96">
        <f>C29</f>
        <v>156465</v>
      </c>
      <c r="D30" s="96">
        <f aca="true" t="shared" si="10" ref="D30:N30">D29</f>
        <v>232200.00000000003</v>
      </c>
      <c r="E30" s="96">
        <f t="shared" si="10"/>
        <v>283500</v>
      </c>
      <c r="F30" s="96">
        <f t="shared" si="10"/>
        <v>283500</v>
      </c>
      <c r="G30" s="96">
        <f t="shared" si="10"/>
        <v>283500</v>
      </c>
      <c r="H30" s="96">
        <f t="shared" si="10"/>
        <v>283500</v>
      </c>
      <c r="I30" s="96">
        <f t="shared" si="10"/>
        <v>283500</v>
      </c>
      <c r="J30" s="96">
        <f t="shared" si="10"/>
        <v>283500</v>
      </c>
      <c r="K30" s="96">
        <f t="shared" si="10"/>
        <v>283500</v>
      </c>
      <c r="L30" s="96">
        <f t="shared" si="10"/>
        <v>283500</v>
      </c>
      <c r="M30" s="96">
        <f t="shared" si="10"/>
        <v>283500</v>
      </c>
      <c r="N30" s="96">
        <f t="shared" si="10"/>
        <v>445500.00000000006</v>
      </c>
      <c r="O30" s="60">
        <f>SUM(C30:N30)</f>
        <v>3385665</v>
      </c>
      <c r="P30" s="62"/>
      <c r="Q30" s="304"/>
    </row>
    <row r="31" spans="1:17" ht="12.75">
      <c r="A31" s="97"/>
      <c r="B31" s="44" t="s">
        <v>54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75"/>
      <c r="Q31" s="56"/>
    </row>
    <row r="32" spans="1:17" ht="13.5" thickBot="1">
      <c r="A32" s="43"/>
      <c r="B32" s="98" t="s">
        <v>180</v>
      </c>
      <c r="C32" s="95">
        <v>2</v>
      </c>
      <c r="D32" s="95">
        <v>2</v>
      </c>
      <c r="E32" s="95">
        <v>2</v>
      </c>
      <c r="F32" s="95">
        <v>2</v>
      </c>
      <c r="G32" s="95">
        <v>2</v>
      </c>
      <c r="H32" s="95">
        <v>2</v>
      </c>
      <c r="I32" s="95">
        <v>2</v>
      </c>
      <c r="J32" s="95">
        <v>2</v>
      </c>
      <c r="K32" s="95">
        <v>2</v>
      </c>
      <c r="L32" s="95">
        <v>2</v>
      </c>
      <c r="M32" s="95">
        <v>2</v>
      </c>
      <c r="N32" s="95">
        <v>2</v>
      </c>
      <c r="O32" s="45"/>
      <c r="P32" s="58"/>
      <c r="Q32" s="46"/>
    </row>
    <row r="33" spans="1:17" ht="12.75">
      <c r="A33" s="43"/>
      <c r="B33" s="199" t="s">
        <v>181</v>
      </c>
      <c r="C33" s="84">
        <f>ROUND($P33*C$32,0)</f>
        <v>28000</v>
      </c>
      <c r="D33" s="84">
        <f aca="true" t="shared" si="11" ref="D33:N33">ROUND($P33*D$32,0)</f>
        <v>28000</v>
      </c>
      <c r="E33" s="84">
        <f t="shared" si="11"/>
        <v>28000</v>
      </c>
      <c r="F33" s="84">
        <f t="shared" si="11"/>
        <v>28000</v>
      </c>
      <c r="G33" s="84">
        <f t="shared" si="11"/>
        <v>28000</v>
      </c>
      <c r="H33" s="84">
        <f t="shared" si="11"/>
        <v>28000</v>
      </c>
      <c r="I33" s="84">
        <f t="shared" si="11"/>
        <v>28000</v>
      </c>
      <c r="J33" s="84">
        <f t="shared" si="11"/>
        <v>28000</v>
      </c>
      <c r="K33" s="84">
        <f t="shared" si="11"/>
        <v>28000</v>
      </c>
      <c r="L33" s="84">
        <f t="shared" si="11"/>
        <v>28000</v>
      </c>
      <c r="M33" s="84">
        <f t="shared" si="11"/>
        <v>28000</v>
      </c>
      <c r="N33" s="85">
        <f t="shared" si="11"/>
        <v>28000</v>
      </c>
      <c r="O33" s="134">
        <f>SUM(C33:N33)</f>
        <v>336000</v>
      </c>
      <c r="P33" s="135">
        <v>14000</v>
      </c>
      <c r="Q33" s="74" t="s">
        <v>53</v>
      </c>
    </row>
    <row r="34" spans="1:17" ht="13.5" thickBot="1">
      <c r="A34" s="43"/>
      <c r="B34" s="200" t="s">
        <v>94</v>
      </c>
      <c r="C34" s="201">
        <f>(C33)*$P$34</f>
        <v>5331.2</v>
      </c>
      <c r="D34" s="201">
        <f aca="true" t="shared" si="12" ref="D34:O34">(D33)*$P$34</f>
        <v>5331.2</v>
      </c>
      <c r="E34" s="201">
        <f t="shared" si="12"/>
        <v>5331.2</v>
      </c>
      <c r="F34" s="201">
        <f t="shared" si="12"/>
        <v>5331.2</v>
      </c>
      <c r="G34" s="201">
        <f t="shared" si="12"/>
        <v>5331.2</v>
      </c>
      <c r="H34" s="201">
        <f t="shared" si="12"/>
        <v>5331.2</v>
      </c>
      <c r="I34" s="201">
        <f t="shared" si="12"/>
        <v>5331.2</v>
      </c>
      <c r="J34" s="201">
        <f t="shared" si="12"/>
        <v>5331.2</v>
      </c>
      <c r="K34" s="201">
        <f t="shared" si="12"/>
        <v>5331.2</v>
      </c>
      <c r="L34" s="201">
        <f t="shared" si="12"/>
        <v>5331.2</v>
      </c>
      <c r="M34" s="201">
        <f t="shared" si="12"/>
        <v>5331.2</v>
      </c>
      <c r="N34" s="201">
        <f t="shared" si="12"/>
        <v>5331.2</v>
      </c>
      <c r="O34" s="201">
        <f t="shared" si="12"/>
        <v>63974.399999999994</v>
      </c>
      <c r="P34" s="286">
        <f>1*1.19*0.16</f>
        <v>0.19039999999999999</v>
      </c>
      <c r="Q34" s="303"/>
    </row>
    <row r="35" spans="1:17" ht="19.5" customHeight="1" thickBot="1">
      <c r="A35" s="43"/>
      <c r="B35" s="61" t="s">
        <v>15</v>
      </c>
      <c r="C35" s="96">
        <f>C33</f>
        <v>28000</v>
      </c>
      <c r="D35" s="96">
        <f aca="true" t="shared" si="13" ref="D35:O35">D33</f>
        <v>28000</v>
      </c>
      <c r="E35" s="96">
        <f t="shared" si="13"/>
        <v>28000</v>
      </c>
      <c r="F35" s="96">
        <f t="shared" si="13"/>
        <v>28000</v>
      </c>
      <c r="G35" s="96">
        <f t="shared" si="13"/>
        <v>28000</v>
      </c>
      <c r="H35" s="96">
        <f t="shared" si="13"/>
        <v>28000</v>
      </c>
      <c r="I35" s="96">
        <f t="shared" si="13"/>
        <v>28000</v>
      </c>
      <c r="J35" s="96">
        <f t="shared" si="13"/>
        <v>28000</v>
      </c>
      <c r="K35" s="96">
        <f t="shared" si="13"/>
        <v>28000</v>
      </c>
      <c r="L35" s="96">
        <f t="shared" si="13"/>
        <v>28000</v>
      </c>
      <c r="M35" s="96">
        <f t="shared" si="13"/>
        <v>28000</v>
      </c>
      <c r="N35" s="96">
        <f t="shared" si="13"/>
        <v>28000</v>
      </c>
      <c r="O35" s="96">
        <f t="shared" si="13"/>
        <v>336000</v>
      </c>
      <c r="P35" s="62"/>
      <c r="Q35" s="59"/>
    </row>
    <row r="36" spans="1:17" ht="19.5" customHeight="1" thickBot="1">
      <c r="A36" s="63"/>
      <c r="B36" s="64" t="s">
        <v>55</v>
      </c>
      <c r="C36" s="99">
        <f aca="true" t="shared" si="14" ref="C36:O36">C25+C30+C35</f>
        <v>763965</v>
      </c>
      <c r="D36" s="99">
        <f t="shared" si="14"/>
        <v>1120200</v>
      </c>
      <c r="E36" s="99">
        <f t="shared" si="14"/>
        <v>1361500</v>
      </c>
      <c r="F36" s="99">
        <f t="shared" si="14"/>
        <v>1361500</v>
      </c>
      <c r="G36" s="99">
        <f t="shared" si="14"/>
        <v>1361500</v>
      </c>
      <c r="H36" s="99">
        <f t="shared" si="14"/>
        <v>1361500</v>
      </c>
      <c r="I36" s="99">
        <f t="shared" si="14"/>
        <v>1361500</v>
      </c>
      <c r="J36" s="99">
        <f t="shared" si="14"/>
        <v>1361500</v>
      </c>
      <c r="K36" s="99">
        <f t="shared" si="14"/>
        <v>1361500</v>
      </c>
      <c r="L36" s="99">
        <f t="shared" si="14"/>
        <v>1361500</v>
      </c>
      <c r="M36" s="99">
        <f t="shared" si="14"/>
        <v>1361500</v>
      </c>
      <c r="N36" s="100">
        <f t="shared" si="14"/>
        <v>2123500</v>
      </c>
      <c r="O36" s="65">
        <f t="shared" si="14"/>
        <v>16261165</v>
      </c>
      <c r="P36" s="66"/>
      <c r="Q36" s="67"/>
    </row>
    <row r="38" spans="5:7" ht="12.75" customHeight="1">
      <c r="E38" s="69"/>
      <c r="F38" s="69"/>
      <c r="G38" s="69"/>
    </row>
    <row r="39" spans="5:7" ht="12.75">
      <c r="E39" s="69"/>
      <c r="F39" s="69"/>
      <c r="G39" s="69"/>
    </row>
    <row r="40" spans="3:6" ht="15" customHeight="1">
      <c r="C40" s="73"/>
      <c r="D40" s="349"/>
      <c r="E40" s="349"/>
      <c r="F40" s="349"/>
    </row>
    <row r="41" spans="2:6" ht="12.75">
      <c r="B41" s="110"/>
      <c r="C41" s="110"/>
      <c r="D41" s="110"/>
      <c r="E41" s="110"/>
      <c r="F41" s="110"/>
    </row>
    <row r="42" spans="2:20" s="68" customFormat="1" ht="12.75">
      <c r="B42" s="108"/>
      <c r="C42" s="101"/>
      <c r="D42" s="101"/>
      <c r="E42" s="101"/>
      <c r="F42" s="101"/>
      <c r="R42" s="205"/>
      <c r="S42" s="209"/>
      <c r="T42" s="209"/>
    </row>
    <row r="43" spans="2:6" ht="12.75">
      <c r="B43" s="108"/>
      <c r="C43" s="101"/>
      <c r="D43" s="101"/>
      <c r="E43" s="101"/>
      <c r="F43" s="101"/>
    </row>
    <row r="44" spans="2:6" ht="12.75">
      <c r="B44" s="109"/>
      <c r="C44" s="111"/>
      <c r="D44" s="111"/>
      <c r="E44" s="111"/>
      <c r="F44" s="111"/>
    </row>
    <row r="45" spans="2:6" ht="12.75">
      <c r="B45" s="109"/>
      <c r="F45" s="51"/>
    </row>
    <row r="46" ht="12.75">
      <c r="B46" s="109"/>
    </row>
  </sheetData>
  <sheetProtection/>
  <mergeCells count="2">
    <mergeCell ref="R1:S1"/>
    <mergeCell ref="D40:F40"/>
  </mergeCells>
  <printOptions/>
  <pageMargins left="0.17" right="0.32" top="0.37" bottom="0.17" header="0.19" footer="0.5"/>
  <pageSetup fitToHeight="1" fitToWidth="1" horizontalDpi="600" verticalDpi="600" orientation="landscape" paperSize="9" scale="64" r:id="rId3"/>
  <headerFooter alignWithMargins="0">
    <oddHeader>&amp;LÉszak-Balatoni Térség Regionális Települési Szilárdhulladék-kezelési Önkormányzati Társulás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1.421875" style="0" customWidth="1"/>
    <col min="2" max="2" width="11.8515625" style="0" customWidth="1"/>
    <col min="3" max="3" width="16.140625" style="0" customWidth="1"/>
    <col min="5" max="6" width="17.00390625" style="0" customWidth="1"/>
  </cols>
  <sheetData>
    <row r="1" spans="1:4" ht="15.75" thickTop="1">
      <c r="A1" s="271"/>
      <c r="B1" s="272"/>
      <c r="C1" s="273"/>
      <c r="D1" s="202"/>
    </row>
    <row r="2" spans="1:9" ht="16.5" customHeight="1">
      <c r="A2" s="274" t="s">
        <v>88</v>
      </c>
      <c r="B2" s="224">
        <f>170000*12</f>
        <v>2040000</v>
      </c>
      <c r="C2" s="226"/>
      <c r="D2" s="202"/>
      <c r="I2" s="202"/>
    </row>
    <row r="3" spans="1:9" ht="15">
      <c r="A3" s="274" t="s">
        <v>209</v>
      </c>
      <c r="B3" s="224">
        <v>7146193</v>
      </c>
      <c r="C3" s="226"/>
      <c r="D3" s="202"/>
      <c r="I3" s="202"/>
    </row>
    <row r="4" spans="1:9" ht="15">
      <c r="A4" s="274" t="s">
        <v>178</v>
      </c>
      <c r="B4" s="224">
        <f>(115968+6000)*12+36384</f>
        <v>1500000</v>
      </c>
      <c r="C4" s="226"/>
      <c r="D4" s="202"/>
      <c r="I4" s="202"/>
    </row>
    <row r="5" spans="1:9" ht="15">
      <c r="A5" s="274" t="s">
        <v>89</v>
      </c>
      <c r="B5" s="224">
        <v>2000000</v>
      </c>
      <c r="C5" s="226" t="s">
        <v>90</v>
      </c>
      <c r="D5" s="202"/>
      <c r="I5" s="202"/>
    </row>
    <row r="6" spans="1:9" ht="15">
      <c r="A6" s="274" t="s">
        <v>208</v>
      </c>
      <c r="B6" s="224">
        <f>18000*12</f>
        <v>216000</v>
      </c>
      <c r="C6" s="226"/>
      <c r="D6" s="202"/>
      <c r="I6" s="202"/>
    </row>
    <row r="7" spans="1:9" ht="15">
      <c r="A7" s="274" t="s">
        <v>87</v>
      </c>
      <c r="B7" s="224">
        <f>SUM(B2:B6)</f>
        <v>12902193</v>
      </c>
      <c r="C7" s="226"/>
      <c r="D7" s="202"/>
      <c r="I7" s="202"/>
    </row>
    <row r="8" spans="1:9" ht="15">
      <c r="A8" s="274" t="s">
        <v>6</v>
      </c>
      <c r="B8" s="224">
        <f>0.25*B7</f>
        <v>3225548.25</v>
      </c>
      <c r="C8" s="226"/>
      <c r="D8" s="202"/>
      <c r="I8" s="202"/>
    </row>
    <row r="9" spans="1:9" ht="15">
      <c r="A9" s="275" t="s">
        <v>91</v>
      </c>
      <c r="B9" s="224">
        <f>'Személyi jellegű kiadások '!O34+65000+259600+11426+62259</f>
        <v>462259.4</v>
      </c>
      <c r="C9" s="226"/>
      <c r="D9" s="202"/>
      <c r="G9" s="310"/>
      <c r="I9" s="202"/>
    </row>
    <row r="10" spans="1:9" ht="15.75" thickBot="1">
      <c r="A10" s="276" t="s">
        <v>15</v>
      </c>
      <c r="B10" s="277">
        <f>B7+B8+B9</f>
        <v>16590000.65</v>
      </c>
      <c r="C10" s="278"/>
      <c r="D10" s="202"/>
      <c r="F10" s="202"/>
      <c r="G10" s="310"/>
      <c r="I10" s="202"/>
    </row>
    <row r="11" spans="2:9" ht="15.75" thickTop="1">
      <c r="B11" s="202"/>
      <c r="C11" s="202"/>
      <c r="D11" s="202"/>
      <c r="I11" s="202"/>
    </row>
    <row r="12" spans="1:2" ht="15">
      <c r="A12" s="202"/>
      <c r="B12" s="202"/>
    </row>
    <row r="13" ht="15">
      <c r="A13" s="202"/>
    </row>
    <row r="14" ht="15">
      <c r="A14" s="202"/>
    </row>
    <row r="15" ht="15">
      <c r="A15" s="202"/>
    </row>
    <row r="16" ht="15">
      <c r="A16" s="202"/>
    </row>
    <row r="17" ht="15">
      <c r="A17" s="202"/>
    </row>
    <row r="18" ht="15">
      <c r="A18" s="202"/>
    </row>
    <row r="19" ht="15">
      <c r="A19" s="202"/>
    </row>
    <row r="20" ht="15">
      <c r="A20" s="202"/>
    </row>
    <row r="50" ht="15">
      <c r="B50" s="27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Farkas László</cp:lastModifiedBy>
  <cp:lastPrinted>2011-01-24T09:44:25Z</cp:lastPrinted>
  <dcterms:created xsi:type="dcterms:W3CDTF">2010-01-22T12:14:17Z</dcterms:created>
  <dcterms:modified xsi:type="dcterms:W3CDTF">2011-01-28T07:44:27Z</dcterms:modified>
  <cp:category/>
  <cp:version/>
  <cp:contentType/>
  <cp:contentStatus/>
</cp:coreProperties>
</file>